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Z:\Calidad\SG-20-0016_CENTRATEC-3\23 Subproyectos\Bloque 5_UATD\5.4. MAPA AYUDAS\"/>
    </mc:Choice>
  </mc:AlternateContent>
  <xr:revisionPtr revIDLastSave="0" documentId="13_ncr:1_{001162A3-57AE-4991-A421-14EB7730B5DF}" xr6:coauthVersionLast="45" xr6:coauthVersionMax="47" xr10:uidLastSave="{00000000-0000-0000-0000-000000000000}"/>
  <bookViews>
    <workbookView xWindow="-120" yWindow="-120" windowWidth="29040" windowHeight="15840" xr2:uid="{00000000-000D-0000-FFFF-FFFF00000000}"/>
  </bookViews>
  <sheets>
    <sheet name="Listado_ayudas" sheetId="1" r:id="rId1"/>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98" i="1" l="1"/>
  <c r="D97" i="1"/>
  <c r="D96" i="1"/>
  <c r="D95" i="1"/>
  <c r="D94" i="1"/>
  <c r="D93" i="1"/>
  <c r="D92" i="1"/>
  <c r="D91"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3" i="1"/>
  <c r="D18" i="1"/>
  <c r="D17" i="1"/>
  <c r="D16" i="1"/>
  <c r="D15" i="1"/>
  <c r="D14" i="1"/>
  <c r="D13" i="1"/>
  <c r="D12" i="1" l="1"/>
  <c r="D11" i="1"/>
  <c r="D10" i="1"/>
  <c r="D9" i="1"/>
  <c r="D8" i="1"/>
  <c r="D7" i="1"/>
  <c r="D6" i="1"/>
  <c r="D5" i="1"/>
  <c r="K3" i="1" l="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L3" i="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alcChain>
</file>

<file path=xl/sharedStrings.xml><?xml version="1.0" encoding="utf-8"?>
<sst xmlns="http://schemas.openxmlformats.org/spreadsheetml/2006/main" count="1097" uniqueCount="733">
  <si>
    <t>ID</t>
  </si>
  <si>
    <t>Subvenciones destinadas a financiar proyectos de TRANSFERENCIA DE CONOCIMIENTO de Organismos de Investigación a PYMES. Cofinanciadas por el FEDER.</t>
  </si>
  <si>
    <t>Regional</t>
  </si>
  <si>
    <t>Instituto de Competitividad Empresarial</t>
  </si>
  <si>
    <t>Concesión de subvenciones, en régimen de concurrencia no competitiva, con destino a facilitar la financiación de los proyectos de transferencia de conocimiento de Organismos de Investigación a empresas con centros de trabajo de Castilla y León.</t>
  </si>
  <si>
    <t>PYMES que tengan al menos un centro de trabajo productivo en Castilla y León.</t>
  </si>
  <si>
    <t>a) La adquisición de derechos reales (cesión y licencia) sobre patentes y modelos de utilidad.</t>
  </si>
  <si>
    <t>Subvenciones, en régimen de concurrencia no competitiva</t>
  </si>
  <si>
    <t>Activa</t>
  </si>
  <si>
    <t>20241130 000000</t>
  </si>
  <si>
    <t>SUBVENCIONES PARA FINANCIAR PROYECTOS EMPRESARIALES DIRIGIDOS A FOMENTAR LA INNOVACIÓN EN EL ÁMBITO TECNOLÓGICO DE LAS PYMES,</t>
  </si>
  <si>
    <t>subvenciones para facilitar la financiación de los proyectos empresariales</t>
  </si>
  <si>
    <t>Autonomos y PyMES Ayudas sujetas al Reglamento de mínimis</t>
  </si>
  <si>
    <t>Proyectos tipo C. Proyectos tipo D.</t>
  </si>
  <si>
    <t>Subvención a fondo perdido del 65 a aplicar sobre el coste subvencionable.</t>
  </si>
  <si>
    <t>Cerrada</t>
  </si>
  <si>
    <t>20181214 000000</t>
  </si>
  <si>
    <t>20230201 000000</t>
  </si>
  <si>
    <t>La fecha de cierre no se sabe</t>
  </si>
  <si>
    <t>Ayudas para proyectos de digitalización de última milla en empresas del sector turístico</t>
  </si>
  <si>
    <t>Nacional</t>
  </si>
  <si>
    <t>Ministerio para la Transición Ecológica y el reto Demográfico (MITECO)</t>
  </si>
  <si>
    <t>Proyectos de digitalización de última milla a agrupaciones de empresas del sector turístico</t>
  </si>
  <si>
    <t>Agrupaciones de entidades empresas turísticas, pymes, microempresas, pequeña empresa, gran empresa</t>
  </si>
  <si>
    <t>NSNC</t>
  </si>
  <si>
    <t>Ayudas, en régimen de concurrencia competitiva. Presupuesto total 25 M</t>
  </si>
  <si>
    <t>20220108 000000</t>
  </si>
  <si>
    <t>20221231 000000</t>
  </si>
  <si>
    <t>SUBVENCIONES DESTINADAS A FINANCIAR PROYECTOS EMPRESARIALES DE INVERSIÓN DENTRO DEL ÁMBITO TERRITORIAL DE LA COMUNIDAD DE CASTILLA Y LEÓN, COFINANCIADOS POR EL FONDO EUROPEO DE DESARROLLO REGIONALFEDER.</t>
  </si>
  <si>
    <t>PROYECTOS EMPRESARIALES DE INVERSIÓN</t>
  </si>
  <si>
    <t>Autónomos y PYMES de cualquier sector</t>
  </si>
  <si>
    <t>La creación de un nuevo establecimiento, la ampliación de la capacidad, diversificación de la producción y la transformación fundamental en el proceso de producción</t>
  </si>
  <si>
    <t>SUBVENCIÓN</t>
  </si>
  <si>
    <t>20221103 000000</t>
  </si>
  <si>
    <t>ORDEN ICT10802022, DE 7 DE NOVIEMBRE, DE LAS BASES REGULADORAS PARA LA CONCESIÓN DE SUBVENCIONES DEL PROGRAMA GENERACIÓN DIGITAL AGENTES DEL CAMBIO, Y SE PROCEDE A SU CONVOCATORIA EN EL AÑO 2022, EN EL MARCO DEL PRTR</t>
  </si>
  <si>
    <t>Ministerio de Industria, Comercio y Turismo</t>
  </si>
  <si>
    <t>PROGRAMA GENERACIÓN DIGITAL AGENTES DEL CAMBIO</t>
  </si>
  <si>
    <t>Entidades de formación CNAE 85</t>
  </si>
  <si>
    <t>Desarrollar Programas de Formación de Expertosas en transformación digital.</t>
  </si>
  <si>
    <t>20221115 000000</t>
  </si>
  <si>
    <t>20221214 000000</t>
  </si>
  <si>
    <t>ORDEN ICT10812022, DE 7 DE NOVIEMBRE, DE LAS BASES REGULADORAS PARA EL PROGRAMA GENERACIÓN DIGITAL PYMES PERSONAS DE EQUIPOS DIRECTIVOS Y CUALIFICACIÓN DE PERSONAS EMPLEADAS EN PYMES, EN EL MARCO DEL PRTR, Y SE PROCEDE A SU PRIMERA CONVOCATORIA</t>
  </si>
  <si>
    <t>PROGRAMA GENERACIÓN DIGITAL PYMESDIRECTIVOS</t>
  </si>
  <si>
    <t>Desarrollar Programas de Formación en el ámbito de la Transformación Digital, dirigidos a personas de equipos directivos de Pymes de entre 10 y 249 empleados en todo el territorio nacional</t>
  </si>
  <si>
    <t>COMMISSION IMPLEMENTING DECISION ON THE FINANCING OF THE DIGITAL EUROPE PROGRAMME AND THE ADOPTION OF THE MULTIANUAL WORK PROGRAMME FOR 2021 2022</t>
  </si>
  <si>
    <t>Europeo</t>
  </si>
  <si>
    <t>Comisión Europea</t>
  </si>
  <si>
    <t>PROGRAMA EUROPA DIGITAL</t>
  </si>
  <si>
    <t>PYMES, grandes empresas, universidades y organizaciones de investigación</t>
  </si>
  <si>
    <t>Desarrollo de las capacidades digitales estratégicas de la UE y facilitar el amplio despliegue de las tecnologías digitales</t>
  </si>
  <si>
    <t>20220929 000000</t>
  </si>
  <si>
    <t>20230124 000000</t>
  </si>
  <si>
    <t>El programa permanecerá abierto hasta el año 2027</t>
  </si>
  <si>
    <t>Ayudas a proyectos de colaboración públicoprivada, del Plan Estatal de Investigación Científica, Técnica y de Innovación 20212023, en el marco del Plan de Recuperación, Transformación y Resiliencia.</t>
  </si>
  <si>
    <t>Agencia Estatal de Investigación</t>
  </si>
  <si>
    <t>Proyectos en colaboración públicoprivada 2022</t>
  </si>
  <si>
    <t>Organismos públicos de investigación. Universidades públicas. Institutos de investigación sanitaria. Otros centros públicos de IDi. Centros tecnológicos y de apoyo a la innovación tecnológica. Empresas. Asociaciones empresariales sectoriales...</t>
  </si>
  <si>
    <t>Proyectos de desarrollo experimental en cooperación entre empresas y organismos de investigación, con el fin de promover el desarrollo de nuevas tecnologías, la aplicación empresarial de nuevas ideas y técnicas.</t>
  </si>
  <si>
    <t>Préstamo y subvención</t>
  </si>
  <si>
    <t>20230213 000000</t>
  </si>
  <si>
    <t>20230307 000000</t>
  </si>
  <si>
    <t>Prioridad Temática 4. Mundo digital, industria, espacio y defensa.</t>
  </si>
  <si>
    <t>Ayudas a Proyectos de Generación de Conocimiento y a actuaciones para la formación de personal investigador predoctoral asociadas a dichos proyectos,</t>
  </si>
  <si>
    <t>Proyectos de Generación de Conocimiento 2022</t>
  </si>
  <si>
    <t>Universidades, centros públicos de IDi, centros tecnológicos y entidades públicas y privadas sin ánimo de lucro vinculadas a la ciencia, la tecnología, la investigación y la innovación.</t>
  </si>
  <si>
    <t>Investigación No Orientada proyectos que tienen como objetivo primordial el avance del conocimiento. Investigación Orientada proyectos orientados a la resolución de problemas concretos y vinculados a las prioridades temáticas.</t>
  </si>
  <si>
    <t>SubvenciónAnticipo reembolsable</t>
  </si>
  <si>
    <t>20230110 000000</t>
  </si>
  <si>
    <t>20230131 000000</t>
  </si>
  <si>
    <t>Ayudas a pequeñas y medianas empresas para la contratación de profesionales de la Transformación Digital</t>
  </si>
  <si>
    <t>Ministerio de Asuntos Económicos y Transformación Digital</t>
  </si>
  <si>
    <t>Programa Agentes del Cambio</t>
  </si>
  <si>
    <t>Pequeñas y medianas empresas</t>
  </si>
  <si>
    <t>Apoyar a pymes en su proceso de transición digital, facilitando la incorporación de Agentes del Cambio que se encuentren en situación de desempleo</t>
  </si>
  <si>
    <t>Subvención</t>
  </si>
  <si>
    <t>20230425 000000</t>
  </si>
  <si>
    <t>20230724 000000</t>
  </si>
  <si>
    <t>Actuaciones de fortalecimiento industrial del sector agroalimentario dentro del Proyecto Estratégico para la Recuperación y Transformación Económica Agroalimentario</t>
  </si>
  <si>
    <t>PERTE Agroalimentario</t>
  </si>
  <si>
    <t>Agrupaciones (entre 4 y 60 entidades). Sociedades mercantiles privadas, sociedades cooperativas y Sociedades Agrarias de Transformación.</t>
  </si>
  <si>
    <t>Actuaciones enmarcadas en los bloques de competitividad, trazabilidad y seguridad alimentaria.</t>
  </si>
  <si>
    <t>Subvención, préstamo o una combinación de ambas.</t>
  </si>
  <si>
    <t>20230123 000000</t>
  </si>
  <si>
    <t>20230228 000000</t>
  </si>
  <si>
    <t>UNICOID 6G 2023</t>
  </si>
  <si>
    <t>Infraestructuras y proyectos de ID en 5G avanzado</t>
  </si>
  <si>
    <t>S. infraestructuras Organismos públicos de investigación. Universidades públicas. Otros centros públicos de IDi. S. ID en 5G avanzado entidades del sector público, entidades privadas y entidades sin ánimo de lucro que ejerzan actividad económica.</t>
  </si>
  <si>
    <t>Infraestructuras científicas y técnicas en el ámbito de las tecnologías 5G avanzado y 6G. Proyectos de ID en 5G avanzado</t>
  </si>
  <si>
    <t>20230321 000000</t>
  </si>
  <si>
    <t>20230413 000000</t>
  </si>
  <si>
    <t>Ayudas a pequeñas y medianas empresas dentro del Programa de Apoyo a los Digital Innovation Hubs</t>
  </si>
  <si>
    <t>Financiación de la innovación de las pymes a través del programa europeo de European Digital Innovation Hubs.</t>
  </si>
  <si>
    <t>Pymes. Multisectorial</t>
  </si>
  <si>
    <t>Asesoramiento inicial para la implantación de tecnologías. Ensayo y experimentación. Formación. Asesoramiento en financiación. Acceso a redes.</t>
  </si>
  <si>
    <t>Ayudas en especie, mediante servicios que faciliten la adopción soluciones de digitalización disruptivas. Estos servicios serán prestados por entidades pertenecientes a los European Digital Innovation Hubs.</t>
  </si>
  <si>
    <t>20230130 000000</t>
  </si>
  <si>
    <t>20250930 000000</t>
  </si>
  <si>
    <t>Competitividad y Profesionalización de las ICC Revalorización de las Industrias Culturales</t>
  </si>
  <si>
    <t>Consejería de Cultura, Turismo y Deporte de la Junta de Castilla y León</t>
  </si>
  <si>
    <t>Aceleración de las empresas culturales y creativas de Castilla y León</t>
  </si>
  <si>
    <t>Pymes (y personas físicas que manifiesten su compromiso de constituirse como empresas o autónomos) que pertenezcan a las ICC</t>
  </si>
  <si>
    <t>Transformación a la cultura digital y la incorporación de nuevas tecnologías</t>
  </si>
  <si>
    <t>20230223 000000</t>
  </si>
  <si>
    <t>20230206 000000</t>
  </si>
  <si>
    <t>LÍNEA DE ACTUACIÓN 1. Contratación de servicios para la aceleración del crecimiento de las empresas culturales y creativas. LÍNEA DE ACTUACIÓN 2 Realización de inversiones de capital (inmovilizado material e inmaterial).</t>
  </si>
  <si>
    <t>Eurostars3</t>
  </si>
  <si>
    <t>Unión Europea</t>
  </si>
  <si>
    <t>Programa de apoyo a las Pymes innovadoras para el desarrollo de proyectos trasnacionales colaborativos y orientados al mercado.</t>
  </si>
  <si>
    <t>Pymes</t>
  </si>
  <si>
    <t>Proyectos de ID cercanos a mercado, en los que las pymes desarrollan tareas de ID y son las beneficiarias de la explotación de los resultados</t>
  </si>
  <si>
    <t>Subvención (hasta 60 pequeñas empresas y 50, medianas)</t>
  </si>
  <si>
    <t>20230207 000000</t>
  </si>
  <si>
    <t>Proyectos de transferencia de conocimiento de organismos de investigación a PYMES, cofinanciadas por el Fondo Europeo de Desarrollo Regional (FEDER)</t>
  </si>
  <si>
    <t>Transferencia de conocimiento de organismos de investigación a PYMES,</t>
  </si>
  <si>
    <t>Pymes de Castilla y León</t>
  </si>
  <si>
    <t>Proyectos que estén incluidos en las prioridades temáticas yo los ámbitos de aplicación de la RIS3 de Castilla y León.</t>
  </si>
  <si>
    <t>Subvención a fondo perdido que se determinará como un porcentaje sobre el coste subvencionable fijo del 4550</t>
  </si>
  <si>
    <t>20251231 000000</t>
  </si>
  <si>
    <t>Desarrollar y mejorar las capacidades de investigación e innovación del tejido empresarial a través del apoyo a las AAEEII</t>
  </si>
  <si>
    <t>Dirección General de Política Económica y Competitividad Junta de Castilla y León</t>
  </si>
  <si>
    <t>Promover la ejecución de proyectos cooperativos innovadores realizados por las Agrupaciones Empresariales Innovadoras (AAEEII) que desarrollen y mejoren las capacidades de investigación e innovación del tejido empresarial de Castilla y León.</t>
  </si>
  <si>
    <t>AAEEII de Castilla y León y sus miembros</t>
  </si>
  <si>
    <t>Proyecto de ID, estudios de viabilidad técnica, e innovación en materia de organización y procesos</t>
  </si>
  <si>
    <t>Subvención ( en función del tamaño de empresa y de la actuación)</t>
  </si>
  <si>
    <t>20221223 000000</t>
  </si>
  <si>
    <t>Ayudas para innovación en materia de sostenibilidad en Valladolid</t>
  </si>
  <si>
    <t>Provincial</t>
  </si>
  <si>
    <t>Cámara Oficial de Comercio, Industria y Servicios de Valaldolid</t>
  </si>
  <si>
    <t>El Programa tiene por objeto principal mejorar la competitividad de la pyme española mediante el impulso de la sostenibilidad, así como reactivar la economía en base a la sostenibilidad.</t>
  </si>
  <si>
    <t>PYMES y autónomos de la demarcación territorial de la Cámara de Comercio de Valladolid que se encuentren dadas de alta en el censo del IAE.</t>
  </si>
  <si>
    <t>Huella de carbono corporativa, monitorización eficiencia energética, buenas prácticas medioambientales, implantación ISO 14001, sistemas de economía circular....</t>
  </si>
  <si>
    <t>La cuantía máxima de ayuda por empresa de 3.500 .</t>
  </si>
  <si>
    <t>20230120 000000</t>
  </si>
  <si>
    <t>CONVOCATORIA TICCÁMARAS 2023 PARA LA PRESTACIÓN DE SERVICIOS DE APOYO A LA TRANSFORMACIÓN DIGITAL, ASÍ COMO PARA LA CONCESIÓN DE AYUDAS ECONÓMICAS A LAS PEQUEÑAS Y MEDIANAS EMPRESAS DE LEÓN</t>
  </si>
  <si>
    <t>Cámara Oficial de Comercio, Industria y Servicios de León</t>
  </si>
  <si>
    <t>El Programa se materializa a través de las siguientes acciones de apoyo directo Diagnóstico Asistido de TIC y ayudas económicas para la implantación de soluciones</t>
  </si>
  <si>
    <t>Pymes y autónomos de la demarcación territorial de la Cámara de Comercio de León, que se encuentren dadas de alta en el Censo del IAE.</t>
  </si>
  <si>
    <t>Planes de implantación de soluciones innovadoras enel marco del Programa TICCámaras</t>
  </si>
  <si>
    <t>La cuantía máxima de ayuda por empresa será de 3.500</t>
  </si>
  <si>
    <t>20230117 000000</t>
  </si>
  <si>
    <t>20230428 000000</t>
  </si>
  <si>
    <t>Ayudas para el desarrollo de planes de apoyo a la incorporación de TIC en empresas industriales de León en el marco del Programa Industria 4.0, Cámara de León, cofinanciado por FEDER.</t>
  </si>
  <si>
    <t>El Programa se materializa a través de las siguientes acciones de apoyo directo a. Diagnóstico Asistido en Industria 4.0. b. Fase II Ayudas económicas para la implantación.</t>
  </si>
  <si>
    <t>Pymes y autónomos del sector industrial, de la demarcación territorial de la Cámara de Comercio de León, que se encuentren dadas de alta en el censo del IAE.</t>
  </si>
  <si>
    <t>Planes de apoyo a la incorporación de TIC en empresas industriales en el marco del Programa Industria 4.0</t>
  </si>
  <si>
    <t>La cuantía máxima de ayuda por empresa será de 10.000</t>
  </si>
  <si>
    <t>Ayudas del Programa Xpande Digital de la Cámara de Burgos para el año 2023</t>
  </si>
  <si>
    <t>Cámara Oficial de Comercio, Industria y Servicios de Burgos</t>
  </si>
  <si>
    <t>Servicios de apoyo a la internacionalización a través de planes de acción en marketing digital internacional. Ayudas económicas para la ejecución de planes de acción en marketing digital internacional</t>
  </si>
  <si>
    <t>Pymes y autónomos del sector industrial, de la demarcación territorial de la Cámara de Comercio de Burgos, que se encuentren dadas de alta en el censo del IAE.</t>
  </si>
  <si>
    <t>Planes de acción en marketing digital internacional</t>
  </si>
  <si>
    <t>La cuantía máxima de la ayuda será de 2.000 euros</t>
  </si>
  <si>
    <t>20230222 000000</t>
  </si>
  <si>
    <t>20230310 000000</t>
  </si>
  <si>
    <t>CONVOCATORIA XPANDE DIGITAL 2023 PARA EL DESARROLLO DE PLANES DE MARKETING DIGITAL INTERNACIONAL DE LAS PYMES DE LEON, A TRAVÉS DE LA PRESTACIÓN DE SERVICIOS DE ASESORAMIENTO Y DE LA CONCESIÓN DE AYUDAS ECONÓMICAS</t>
  </si>
  <si>
    <t>Planes de Acción de Marketing Digital Internacional, en un mercado exterior objetivo Fase de Asesoramiento a la PYME Fase de Ayudas para la ejecución del Plan de Acción en Marketing Digital</t>
  </si>
  <si>
    <t>Planes de Acción en Marketing Digital</t>
  </si>
  <si>
    <t>CONVOCATORIA XPANDE DIGITAL 2023 PARA EL DESARROLLO DE PLANES DE MARKETING DIGITAL INTERNACIONAL DE LAS PYMES DE LA PROVINCIA DE VALLADOLID A TRAVÉS DE LA PRESTACIÓN DE SERVICIOS DE ASESORAMIENTO Y DE LA CONCESIÓN DE AYUDAS ECONÓMICAS</t>
  </si>
  <si>
    <t>Concesión de ayudas para desarrollar Planes de acción en marketing digital internacional en el marco del Programa Xpande Digital, subvencionados en un 50 por FEDER y 50 Diputación de Valladolid.</t>
  </si>
  <si>
    <t>Pymes y autónomos del sector industrial, de la demarcación territorial de la Cámara de Comercio de Valladolid, que se encuentren dadas de alta en el censo del IAE.</t>
  </si>
  <si>
    <t>La cuantía máxima de ayuda por empresa será de 2.000</t>
  </si>
  <si>
    <t>20230127 000000</t>
  </si>
  <si>
    <t>20230315 000000</t>
  </si>
  <si>
    <t>CONVOCATORIA CIBERSEGURIDAD 2023 PARA LA PRESTACIÓN DE SERVICIOS DE APOYO PARA LA IMPLANTACIÓN DE LA CIBERSEGURIDAD EN LAS PYME, ASÍ COMO PARA LA CONCESIÓN DE AYUDAS ECONÓMICAS A LAS PEQUEÑAS Y MEDIANAS EMPRESAS DE LEÓN.</t>
  </si>
  <si>
    <t>Ayudas para el desarrollo de planes de apoyo a la implementación de la ciberseguridad en las Pymes en el marco del Programa Ciberseguridad, cofinanciado por FEDER</t>
  </si>
  <si>
    <t>Planes de apoyo a la implementación de la ciberseguridad</t>
  </si>
  <si>
    <t>Activa Start Ups en Castilla y León</t>
  </si>
  <si>
    <t>Escuela de Organización Industria, Fundación EOI en colaboración con el Instituto para la Competitividad Empresarial de la Junta de Castilla y León</t>
  </si>
  <si>
    <t>PROYECTOS de innovación abierta en materia de Transformación digital Desarrollo e incorporación de tecnologías emergentes Transformación hacia una economía baja en carbono a través de la incorporación de la economía circular en el modelo de negocio</t>
  </si>
  <si>
    <t>Pymes de Castilla y León que vayan a desarrollar un proyecto de innovación abierta con el asesoramiento y apoyo de una startup.</t>
  </si>
  <si>
    <t>Ayudas dirigidas a impulsar la Innovación Abierta en el marco del Plan de Recuperación, Transformación y Resiliencia para pymes de Castilla y León. En el marco de WOLARIA Innovación Abierta</t>
  </si>
  <si>
    <t>De hasta el 100 con un importe máximo de 40.000 .</t>
  </si>
  <si>
    <t>20230210 000000</t>
  </si>
  <si>
    <t>Proyectos ID Transferencia Cervera (CDTI)</t>
  </si>
  <si>
    <t>Centro para el Desarrollo Tecnológico Industrial</t>
  </si>
  <si>
    <t>Ayudas a proyectos individuales de ID desarrollados por empresas que colaboren con Centros Tecnológicos de ámbito estatal en las tecnologías prioritarias Cervera.</t>
  </si>
  <si>
    <t>Pymes y empresas de mediana capitalización</t>
  </si>
  <si>
    <t>Proyectos individuales de ID de carácter aplicado para la creación o mejora significativa de un proceso productivo, producto o servicio.</t>
  </si>
  <si>
    <t>Préstamo Euribor a 1 año. Presupuesto mínimo elegible será de 175.000 euros. Tramo no reembolsable del 33 de la ayuda.</t>
  </si>
  <si>
    <t>20230224 000000</t>
  </si>
  <si>
    <t>20231231 000000</t>
  </si>
  <si>
    <t>Abierta todo el año</t>
  </si>
  <si>
    <t>Proyectos estratégicos CIEN (CDTI)</t>
  </si>
  <si>
    <t>Ayudas a proyectos de ID desarrollados por empresas y destinados a la creación y mejora significativa de procesos productivos, productos o servicios.</t>
  </si>
  <si>
    <t>Agrupaciones de empresas. Cada consorcio debe estar constituido por un mínimo de tres y un máximo de ocho empresas al menos dos de ellas deberán ser autónomas, y al menos una tendrá consideración de PYME.</t>
  </si>
  <si>
    <t>Financiación de grandes proyectos de ID, desarrollados en colaboración efectiva por agrupaciones empresariales y orientados a la realización de una investigación planificada en áreas estratégicas de futuro y con potencial proyección internacional.</t>
  </si>
  <si>
    <t>Préstamos. Presupuesto máximo solicitado de 20.000.000 euros. Tramo no reembolsable del 33 de la ayuda, calculado sobre en máximo del 75 de la cobertura del préstamo. Presupuesto entre 5 y 20 millones .</t>
  </si>
  <si>
    <t>Abierta todo el año, con dos fechas de corte 2802 y 3006.</t>
  </si>
  <si>
    <t>Programa UNICO SECTORIAL 2023</t>
  </si>
  <si>
    <t>Realización de proyectos de desarrollo experimental en el marco de la tecnología 5G. Desarrollo parcial de las líneas C15.I6 Despliegue de redes 5G e innovaciones 5G del componente 15 del Plan de Recuperación, Transformación y Resiliencia.</t>
  </si>
  <si>
    <t>Empresas y organismos de investigación y de difusión de conocimientos, en forma individual o en cooperación con un máximo de tres entidades.</t>
  </si>
  <si>
    <t>Tecnología 5G</t>
  </si>
  <si>
    <t>Los proyectos deberán tener un presupuesto de entre 1 y 15 M. Ayudas del 25 al 60.</t>
  </si>
  <si>
    <t>20230303 000000</t>
  </si>
  <si>
    <t>Programa NEOTEC</t>
  </si>
  <si>
    <t>Ayudas destinadas a empresas innovadoras pequeñas, con una antigüedad no superior a 3 años, para nuevos proyectos empresariales que requieran el uso de tecnologías o conocimientos desarrollados a partir de la actividad investigadora.</t>
  </si>
  <si>
    <t>Empresa innovadora que cumplan los requisitos de la convocatoria</t>
  </si>
  <si>
    <t>Nuevos proyectos empresariales que requieran el uso de tecnologías o conocimientos desarrollados a partir de la actividad investigadora</t>
  </si>
  <si>
    <t>El porcentaje máximo de subvención hasta el 70 del presupuesto de la actuación, con un importe máximo de subvención de 250.000 euros por beneficiario. Contratación doctores, hasta el 85.</t>
  </si>
  <si>
    <t>20230420 000000</t>
  </si>
  <si>
    <t>Cierra el 20abr23 a las 1200</t>
  </si>
  <si>
    <t>7th EGYPTIANSPANISH JOINT CALL FOR RDI IN IT PROJECTS 2022 2023</t>
  </si>
  <si>
    <t>Internacional</t>
  </si>
  <si>
    <t>ITIDA (Egyptian Agency for the Development of the IT Industry)</t>
  </si>
  <si>
    <t>Proyectos cercanos a mercado llevados a cabo entre empresas de España y Egipto, que persigan el desarrollo o mejora sustancial de nuevos productos, procesos o servicios</t>
  </si>
  <si>
    <t>Empresas. La participación de institutosuniversidades de investigación y otras organizaciones son bienvenidas como participantes autofinanciados o subcontratistas</t>
  </si>
  <si>
    <t>Mobile Applications and Computing, Cloud Computing, Data Analytics and Big Data, Internet of Things (IoT), Gamification, Cognitive Computing, Smart Machines, Blockchain, Virtual and Augmented Reality, Artificial intelligence and machine learning...</t>
  </si>
  <si>
    <t>Préstamo.Tipo de interés fijo Euribor a 1 año. Ayuda de hasta el 85 del presupuesto aprobado.Devolución 10 o 15 años incluyendo una carencia entre 2 y 3 años. Tramo no reembolsable de entre el 20 y el 33 de la ayuda.</t>
  </si>
  <si>
    <t>20221107 000000</t>
  </si>
  <si>
    <t>20230320 000000</t>
  </si>
  <si>
    <t>SecurIT</t>
  </si>
  <si>
    <t>SECURIT project</t>
  </si>
  <si>
    <t>Su objetivo aumentar la seguridad de las aplicaciones, servicios e infraestructuras actuales mediante la integración de soluciones o procesos de seguridad de última generación.</t>
  </si>
  <si>
    <t>Call dirigida a consorcios de un mínimo de 2 pymes (Al menos 1 PYME debe ser un proveedor de TItecnología).</t>
  </si>
  <si>
    <t>Integración de soluciones o procesos de seguridad de última generación.</t>
  </si>
  <si>
    <t>Presupuesto total 1.750.000 Desarrollo de prototipos (hasta 74.000 por proyecto) y Demostrador (hasta 88.000 por proyecto)</t>
  </si>
  <si>
    <t>20230314 000000</t>
  </si>
  <si>
    <t>VENTURES THRIVE</t>
  </si>
  <si>
    <t>Ventures Thrive</t>
  </si>
  <si>
    <t>Aceleración para startups que trabajen en Smart City, energía, movilidad, agricultura y residuos, marítimo o finanzas sostenibles. Las startups participantes deben estar involucradas con el panorama deeptech.</t>
  </si>
  <si>
    <t>Pyme Startups</t>
  </si>
  <si>
    <t>Deeptech (BigData, AI, Blockchain, IoT y o BioTech)</t>
  </si>
  <si>
    <t>Presupuesto total 1.5M Hasta 100.000 por beneficiario (Máximo 32 beneficiarios)</t>
  </si>
  <si>
    <t>20230316 000000</t>
  </si>
  <si>
    <t>Las startups participantes deben ofrecer un producto servicio y tecnología que haya pasado la etapa de Producto Mínimo Viable (MVP) (TRL 6, tecnología demostrada en un entorno relevante).</t>
  </si>
  <si>
    <t>X2.0 EUROPE</t>
  </si>
  <si>
    <t>X2.0 project</t>
  </si>
  <si>
    <t>1ª Call para pymes tecnológicas (deeptech) que trabajen en soluciones para la fabricación y la economía circular.</t>
  </si>
  <si>
    <t>TIC FABRICACIÓN ECONOMÍA CIRCULAR</t>
  </si>
  <si>
    <t>Presupuesto total 300.000 Hasta 30.000 euros por bono (Máximo 10 beneficiarios) Bono de innovación para gastar en la subcontratación de servicios externos (servicios de crecimiento, tutoría y asistencia a eventos).</t>
  </si>
  <si>
    <t>20230116 000000</t>
  </si>
  <si>
    <t>SHAPES</t>
  </si>
  <si>
    <t>SHAPES project</t>
  </si>
  <si>
    <t>Su objetivo es facilitar la creación de aplicaciones novedosas que apoyen el envejecimiento ágil inteligente y saludable en el entorno construido.</t>
  </si>
  <si>
    <t>Pymes y startups</t>
  </si>
  <si>
    <t>Soluciones de eSalud. Se solicitará la evaluación de la Plataforma SHAPES en entornos operativos de organizaciones de atención médica.</t>
  </si>
  <si>
    <t>Presupuesto total 500.000 De 50.000 hasta 100.000 por beneficiario</t>
  </si>
  <si>
    <t>20221216 000000</t>
  </si>
  <si>
    <t>20230317 000000</t>
  </si>
  <si>
    <t>DIGITOUR</t>
  </si>
  <si>
    <t>DIGITOUR project</t>
  </si>
  <si>
    <t>Call para pymes turísticas individuales con un bono (Bono 1) para aumentar sus competencias y conocimientos sobre herramientas y tecnologías digitales.</t>
  </si>
  <si>
    <t>Pymes turísticas con bajo nivel de madurez digital</t>
  </si>
  <si>
    <t>Herramientas digitales para el sector turístico.</t>
  </si>
  <si>
    <t>Presupuesto total 480.000 Hasta 100.000 para el Bono 1 Hasta 1.000 euros por beneficiario</t>
  </si>
  <si>
    <t>20221001 000000</t>
  </si>
  <si>
    <t>20230331 000000</t>
  </si>
  <si>
    <t>NGI Zero Core Open Call</t>
  </si>
  <si>
    <t>NGI</t>
  </si>
  <si>
    <t>Su objetivo es Internet más resistente, confiable, ecológica y sostenible.</t>
  </si>
  <si>
    <t>Investigadores y desarrolladores</t>
  </si>
  <si>
    <t>Internet nuevas ideas y tecnologías centrales disruptivas.</t>
  </si>
  <si>
    <t>Presupuesto total 9,6 M Hasta 50.000</t>
  </si>
  <si>
    <t>20230401 000000</t>
  </si>
  <si>
    <t>Change2Twin</t>
  </si>
  <si>
    <t>Change2Twin project</t>
  </si>
  <si>
    <t>Desarrollo e implementación de tecnología de gemelos digitales.</t>
  </si>
  <si>
    <t>Pymes y midcaps</t>
  </si>
  <si>
    <t>Gemelo digital</t>
  </si>
  <si>
    <t>Presupuesto total 1,182.402 Hasta 90.000 por beneficiario (cupón de implementación) Máximo 16 beneficiarios</t>
  </si>
  <si>
    <t>20230416 000000</t>
  </si>
  <si>
    <t>Tutoría técnica para apoyar el despliegue de Digital Twin en cada fase de su implementación. Participación individual.</t>
  </si>
  <si>
    <t>SUBVENCIONES DESTINADAS A FINANCIAR PROYECTOS EMPRESARIALES DIRIGIDOS A FAVORECER LA INCORPORACIÓN DE LAS TECNOLOGÍAS DE LA INFORMACIÓN Y LA COMUNICACIÓN EN LAS PYMES, COFINANCIADAS POR EL FEDER (2018)</t>
  </si>
  <si>
    <t>Proyectos de implantación y adaptación de soluciones TIC en las PYMES de Castilla y León, con la finalidad de mejorar su competitividad</t>
  </si>
  <si>
    <t>I. Aplicaciones de gestión intraempresa interempresas. I.1. Soluciones de negocio, con ámbito Comercial (CRM para optimizar relación con clientes, Ecommerce Webs de comercio electrónico para venta de productos y servicios a los clientes de forma ele</t>
  </si>
  <si>
    <t>Subvención a fondo perdido que se determinará como un porcentaje fijo del 55 a aplicar sobre el coste subvencionable. Este porcentaje será incrementado en un 5, si el centro de trabajo está situado en un municipio de menos de 10.000 habitantes, o de 3.</t>
  </si>
  <si>
    <t>20181120 000000</t>
  </si>
  <si>
    <t>20300425 000000</t>
  </si>
  <si>
    <t>Los proyectos subvencionables incluirán al menos, la implantación de una o varias soluciones Tic de las señaladas.</t>
  </si>
  <si>
    <t>Componente 13 Impulso a la pyme</t>
  </si>
  <si>
    <t>C13.I3 Digitalización e innovación. Incluye programas de subvenciones a pymes de los costes de adopción de soluciones digitales y de transformación digital, de apoyo a proyectos de digitalización de la cadena de valor de los diferentes sectores industria</t>
  </si>
  <si>
    <t>Pymes. Todos los sectores productivos</t>
  </si>
  <si>
    <t>Este componente recoge un conjunto de reformas e inversiones orientadas a reforzar el ecosistema empresarial español, con especial atención en las necesidades de las pymes, con el fin de apoyar a estas empresas para aumentar su productividad, reforzar sus</t>
  </si>
  <si>
    <t>PERTE de economía social y de los cuidados</t>
  </si>
  <si>
    <t>Plan de Recuperación, Transformación y Resiliencia. Varios Ministerios implicados</t>
  </si>
  <si>
    <t>fortalecer las políticas de igualdad y facilitar la conversión de compañías en crisis o con falta de relevo generacional en empresas de economía social, principalmente cooperativas de trabajo, además de mejorar la competitividad de las pymes del sector.</t>
  </si>
  <si>
    <t>Todos los sectores productivos</t>
  </si>
  <si>
    <t>20220531 000000</t>
  </si>
  <si>
    <t>20300330 000000</t>
  </si>
  <si>
    <t>PERTE para la industria naval</t>
  </si>
  <si>
    <t>Actuaciones de IDi dirigidas al diseño o desarrollo de plataformas colaborativas o sistemas de información integrados que permitan mejorar la eficiencia de los procesos productivos o la organización, así como el grado de digitalización de los productos</t>
  </si>
  <si>
    <t>Sector Naval Español</t>
  </si>
  <si>
    <t>20220315 000000</t>
  </si>
  <si>
    <t>20270331 000000</t>
  </si>
  <si>
    <t>KDT (Key Digital Technologies (KDT JU))</t>
  </si>
  <si>
    <t>KDT JU is a EUdriven, publicprivate partnership, funding innovation in electronic components and systems</t>
  </si>
  <si>
    <t>cualquier organización que pueda hacer una contribución a los objetivos de IDI del programa. Sin embargo, existen criterios de elegibilidad específicos relevantes en cada Estado participante de KDT JU</t>
  </si>
  <si>
    <t>Proyectos de IDi</t>
  </si>
  <si>
    <t>20230503 000000</t>
  </si>
  <si>
    <t>HORIZONKDTJU20211 IA HORIZONKDTJU20211IA 108M HORIZONKDTJU20211IA Focus Topic 1 Development of opensources RISCV building blocks 20M HORIZONKDTJU20212 RIA HORIZONKDTJU20212RIA 50M HORIZONKDTJU20212RIA</t>
  </si>
  <si>
    <t>SUBVENCIONES PARA LA REALIZACIÓN DE PROYECTOS DE ID, COFINANCIADAS POR EL FONDO EUROPEO DE DESARROLLO REGIONAL (FEDER)</t>
  </si>
  <si>
    <t>Ayudas para Investigación fundamental Investigación industrial Desarrollo experimental Estudio de viabilidad.</t>
  </si>
  <si>
    <t>PYMES y las empresas de mediana capitalización (midcaps) que tengan al menos un centro de trabajo productivo en Castilla y León</t>
  </si>
  <si>
    <t>Presupuesto proyectos Entre 20.000 y 700.000 (1.000.000 para proyectos en colaboración). Proyectos acogidos al Reglamento General de Exención por Categorías. Porcentaje máximo de ayuda hasta el 80. Acogidos a Reglamento de minimis. Porcentaje máx</t>
  </si>
  <si>
    <t>20180524 000000</t>
  </si>
  <si>
    <t>20301231 000000</t>
  </si>
  <si>
    <t>La solicitud necesita la presentación de memoria técnica y otra documentación. Se prevén anticipos del 50 previa constitución de garantías</t>
  </si>
  <si>
    <t>CONECTIVIDAD digital Castilla y León</t>
  </si>
  <si>
    <t>Consejería de Fomento y Medio Ambiente</t>
  </si>
  <si>
    <t>1)Línea de subvenciones para dotar de conectividad a polígonos industriales y centros logísticos 2) programa de bonos de conectividad de banda ancha para familias y colectivos vulnerables 3) convocatoria de ayudas a la adecuación de infraestructuras de</t>
  </si>
  <si>
    <t>Autónomos y Pymes familias y colectivos vulnerablescentros públicos asistenciales o sociales</t>
  </si>
  <si>
    <t>Presupuesto total 22.1M.</t>
  </si>
  <si>
    <t>20220101 000000</t>
  </si>
  <si>
    <t>20251031 000000</t>
  </si>
  <si>
    <t>Las fechas de comienzo y finalización no están indicadas en el excel, solo indican años</t>
  </si>
  <si>
    <t>CONVOCATORIA DE AYUDAS DESTINADAS A LA DIGITALIZACIÓN DE EMPRESAS DEL SEGMENTO II (ENTRE 3 Y MENOS DE 10 EMPLEADOS), DENTRO DEL PROGRAMA KIT DIGITAL (C00522SI) (Bono Digital)</t>
  </si>
  <si>
    <t>Red.es</t>
  </si>
  <si>
    <t>Mejora de la competitividad y el nivel de madurez digital de las empresas y personas en situación de autoempleo comprendidas en el Segmento II</t>
  </si>
  <si>
    <t>Pyme y autónomo</t>
  </si>
  <si>
    <t>Business Intelligence y Analítica Ciberseguridad</t>
  </si>
  <si>
    <t>importe máximo total de las ayudas reguladas en la presente Convocatoria es de 500M importe máximo de ayuda por beneficiario 6.000</t>
  </si>
  <si>
    <t>20220902 000000</t>
  </si>
  <si>
    <t>20241231 000000</t>
  </si>
  <si>
    <t>Se establecen importes máximos de ayuda por Categoría de Soluciones de Digitalización, así como la duración (12 meses) que debe mantenerse la prestación del servicio para el Segmento II.</t>
  </si>
  <si>
    <t>Programa de ayudas para la transformación digital y modernización de las entidades locales que forman parte de la Red de Destinos Turísticos Inteligentes</t>
  </si>
  <si>
    <t>Este PERTE tiene como objetivo la modernización del ciclo de agua a través de tres herramientas la digitalización que es la herramienta principal, la innovación y la formación. De esta forma, la gestión del agua será eficiente y sostenible</t>
  </si>
  <si>
    <t>entidades locales</t>
  </si>
  <si>
    <t>Proyectos que promuevan la digitalización de los miembros titulares de la Red de Destinos Turísticos Inteligentes (en adelante, Red DTI) gracias al desarrollo e implantación de tecnologías en los destinos, en el marco de del Plan de Recuperación de Recupe</t>
  </si>
  <si>
    <t>Presupuesto total 6M</t>
  </si>
  <si>
    <t>20220112 000000</t>
  </si>
  <si>
    <t>20300331 000000</t>
  </si>
  <si>
    <t>PERTE de digitalización del ciclo del agua</t>
  </si>
  <si>
    <t>a) Personas físicas o jurídicas que sean operadores, en cualquier tipo de modalidad de conformidad con lo establecido en la normativa aplicable, de los servicios de abastecimiento, saneamiento o depuración de aguas residuales urbanas en uno o varios térm</t>
  </si>
  <si>
    <t>La cuantía total máxima de las ayudas a conceder en el marco de la presente convocatoria será de 200.000.000 de euros.</t>
  </si>
  <si>
    <t>20220930 000000</t>
  </si>
  <si>
    <t>Para optar a estas ayudas, cada proyecto deberá incluir uno o varios términos municipales, de forma que, de manera individual o conjunta, incluyendo en este caso las entidades supramunicipales con personalidad jurídica, el proyecto seleccionado atienda,</t>
  </si>
  <si>
    <t>PERTE Aeroespacial</t>
  </si>
  <si>
    <t>Comisión interministerial</t>
  </si>
  <si>
    <t>Posicionar al sector aeroespacial español como actor clave ante los nuevos retos y oportunidades asociados a las grandes transformaciones previstas en el sector.</t>
  </si>
  <si>
    <t>4.533 millones de euros</t>
  </si>
  <si>
    <t>20220322 000000</t>
  </si>
  <si>
    <t>20270322 000000</t>
  </si>
  <si>
    <t>Agroinnpulso</t>
  </si>
  <si>
    <t>Ministerio de Agricultura, Pesca y Alimentación, y serán gestionados y administrados por ENISA.</t>
  </si>
  <si>
    <t>Línea de financiación dirigida a impulsar la transformación digital de las empresas del sector agroalimentario y del medio rural. Esta línea está orientada a apoyar proyectos empresariales de base tecnológica, a través de la financiación, con el objetivo</t>
  </si>
  <si>
    <t>Las pequeñas y medianas empresas agroalimentarias de toda la cadena de valor, incluidas las situadas en el medio rural que desarrollen actividades innovadoras yo de base tecnológica que apliquen sobre ésta (agroTIC), con especial atención a aquellas con</t>
  </si>
  <si>
    <t>Importe mínimo del préstamo 25 000 . Importe máximo del préstamo 1 500 000 .</t>
  </si>
  <si>
    <t>SUBVENCIONES DESTINADAS A FINANCIAR PROYECTOS EMPRESARIALES DE INVERSIÓN DENTRO DEL ÁMBITO TERRITORIAL DE LA COMUNIDAD DE CASTILLA Y LEÓN, COFINANCIADOS POR EL FONDO EUROPEO DE DESARROLLO REGIONALFEDER</t>
  </si>
  <si>
    <t>Autónomos y Pymes</t>
  </si>
  <si>
    <t>Proyectos empresariales de inversión, dentro del ámbito territorial de Castilla y León, con el fin de promover la creación de empresas y el desarrollo de la competitividad y la consolidación del tejido empresarial de las empresas existentes, mediante el f</t>
  </si>
  <si>
    <t>20221104 000000</t>
  </si>
  <si>
    <t>20271103 000000</t>
  </si>
  <si>
    <t>Porcentaje máximo de ayuda del 35, excepto en Soria y Zamora que podrá llegar al 40 y Salamanca que podrá llegar al 45. Fecha de cierre no se sabe.</t>
  </si>
  <si>
    <t>CONVOCATORIA DE AYUDAS DESTINADAS A LA DIGITALIZACIÓN DE EMPRESAS DEL SEGMENTO III (ENTRE 0 Y MENOS DE 3 EMPLEADOS) EN EL MARCO DE LA AGENDA ESPAÑA DIGITAL (C02222SI) (Bono Digital)</t>
  </si>
  <si>
    <t>Mejora de la competitividad y el nivel de madurez digital de las empresas y personas en situación de autoempleo comprendidas en el Segmento III</t>
  </si>
  <si>
    <t>Pequeñas empresas, micropymes y autónomos</t>
  </si>
  <si>
    <t>Sitio Web y Presencia básica en Internet Comercio electrónico Gestión de Redes Sociales Gestión de Clientes Business Intelligence y Analítica Gestión de Procesos Factura Electrónica Servicios y herramientas de Oficina Virtual Comunicaciones Segura</t>
  </si>
  <si>
    <t>Importe máximo total de las ayudas reguladas en la presente Convocatoria es de 500M importe máximo de ayuda por beneficiario 2.000</t>
  </si>
  <si>
    <t>20221020 000000</t>
  </si>
  <si>
    <t>Se establecen importes máximos de ayuda por Categoría de Soluciones de Digitalización, así como la duración (12 meses) que debe mantenerse la prestación del servicio para el Segmento III.</t>
  </si>
  <si>
    <t>AYUDAS PARA LA TRANSFORMACIÓN DIGITAL Y MODERNIZACIÓN DE LAS ENTIDADES LOCALES QUE FORMAN PARTE DEL CAMINO DE SANTIAGO, INTEGRADAS EN LA RED DE DESTINOS TURÍSTICOS INTELIGENTES PARA SU IMPULSO Y CONSOLIDACIÓN, HACIA UN MODELO BASADO EN LA SOSTENIBILIDAD</t>
  </si>
  <si>
    <t>TRANSFORMACIÓN DIGITAL Y MODERNIZACIÓN DE LAS ENTIDADES LOCALES QUE FORMAN PARTE DEL CAMINO DE SANTIAGO</t>
  </si>
  <si>
    <t>Agrupaciones de entidades locales compuestas por un mínimo de 3 entidades y un máximo de 8</t>
  </si>
  <si>
    <t>El objeto de esta Ayuda es permitir avanzar en la transformación y modernización de las entidades locales que forman parte del Camino de Santiago hacia un modelo de destino turístico inteligente basado en la sostenibilidad medioambiental, socioeconómica y</t>
  </si>
  <si>
    <t>20220513 000000</t>
  </si>
  <si>
    <t>20220613 000000</t>
  </si>
  <si>
    <t>La intensidad máxima para los proyectos será del 100 del presupuesto financiable. El presupuesto de los proyectos subvencionados será de entre 500.000 euros y 1 millón de euros</t>
  </si>
  <si>
    <t>EMPRENDEDORAS DIGITALES</t>
  </si>
  <si>
    <t>Pequeñas y medianas empresas emergentes o en crecimiento en las que una o varias mujeres ostenten una posición relevante de liderazgo o de poder dentro de sociedad</t>
  </si>
  <si>
    <t>Apoyar e impulsar, a través de la financiación, proyectos de emprendimiento digital femenino y reducir la brecha de género existente en este ámbito.</t>
  </si>
  <si>
    <t>PRESTAMOS</t>
  </si>
  <si>
    <t>20211018 000000</t>
  </si>
  <si>
    <t>Esta línea está dirigida tanto a empresas de nueva creación como a aquellas que estén considerando un proyecto de consolidación, crecimiento o internacionalización.</t>
  </si>
  <si>
    <t>PERTE DE MICROELECTRÓNICA Y SEMICONDUCTORES</t>
  </si>
  <si>
    <t>PERTE CHIP</t>
  </si>
  <si>
    <t>SECTOR MICROELECTRÓNICA Y SEMICONDUCTORES</t>
  </si>
  <si>
    <t>Reforzar la cadena de valor de la industria de microelectrónica y semiconductores española, desde una perspectiva integral, abarcando todas las fases involucradas en la concepción, diseño y fabricación de los chips</t>
  </si>
  <si>
    <t>Prevista</t>
  </si>
  <si>
    <t>20220524 000000</t>
  </si>
  <si>
    <t>20270523 000000</t>
  </si>
  <si>
    <t>PERTE NUEVA ECONOMÍA DE LA LENGUA</t>
  </si>
  <si>
    <t>Sector editorial, audiovisual y telecomunicaciones</t>
  </si>
  <si>
    <t>Tiene como objetivo convertir al español y a las lenguas cooficiales en elementos tractores de la transformación digital e impulsar toda la cadena de valor de la nueva economía del conocimiento y de la inteligencia artificial. Se impulsarán 14 proyectos t</t>
  </si>
  <si>
    <t>20220301 000000</t>
  </si>
  <si>
    <t>20270228 000000</t>
  </si>
  <si>
    <t>DIGITAL EUROPE PROGRAMME</t>
  </si>
  <si>
    <t>DIGITAL</t>
  </si>
  <si>
    <t>PYMES, grandes empresas, universidades y organizaciones de investigación del sector de las TIC</t>
  </si>
  <si>
    <t>El Programa Europa Digital proporciona financiación para proyectos en cinco ámbitos decisivos supercomputación, inteligencia artificial, ciberseguridad, competencias digitales avanzadas, generalización del uso de las tecnologías digitales en todos los se</t>
  </si>
  <si>
    <t>20271231 000000</t>
  </si>
  <si>
    <t>AI4Copernicus</t>
  </si>
  <si>
    <t>The AI4Copernicus Partnership</t>
  </si>
  <si>
    <t>5ª Call para microproyectos que usen los servicios del proyecto AI4Copernicus y la plataforma europea AI on Demand en todos los ámbitos industriales. Solicitud individual para microproyectos de un único beneficiario.</t>
  </si>
  <si>
    <t>Pymesstartup y microempresas (TIC Energía Seguridad, Salud, Agricultura marítimo aviación)</t>
  </si>
  <si>
    <t>Su objetivo es unir la inteligencia artificial (IA) con el mundo de la observación de la Tierra (OE) y conseguir que la plataforma AI4EU AI sea la elegida por los usuarios de datos de Copernicus.</t>
  </si>
  <si>
    <t>Presupuesto total 300.000 Hasta 30.000 por proyecto Máximo 10 proyectos</t>
  </si>
  <si>
    <t>TERMINET</t>
  </si>
  <si>
    <t>TERMINET project</t>
  </si>
  <si>
    <t>El nexT gEneRation sMart INterconnectEd ioT (TERMINET) tiene como objetivo proporcionar una nueva arquitectura de referencia de próxima generación basada en tecnologías de vanguardia. Solicitud individual y consorcios (máximo 4 entidades).</t>
  </si>
  <si>
    <t>Pymes, empresas industriales universidades y centros de investigación (TIC)</t>
  </si>
  <si>
    <t>Proporcionar una nueva arquitectura de referencia de próxima generación basada en tecnologías de vanguardia (IoT y habilitación de control SDN, tecnologías de blockchain,...).</t>
  </si>
  <si>
    <t>Presupuesto total400.000 Hasta 100.000 por proyecto</t>
  </si>
  <si>
    <t>20220801 000000</t>
  </si>
  <si>
    <t>TRUSTCHAIN OC1</t>
  </si>
  <si>
    <t>NGI TrustChain</t>
  </si>
  <si>
    <t>1ª Call Identidad digital descentralizada, para apoyar aplicaciones que desarrollen identidades y datos digitales. Participación individual y consorciada.</t>
  </si>
  <si>
    <t>Pyme desarrolladores, innovadores, investigadores (TIC)</t>
  </si>
  <si>
    <t>Su objetivo es crear una cartera de protocolos de Internet de próxima generación y un ecosistema de soluciones de software descentralizadas.</t>
  </si>
  <si>
    <t>Presupuesto total 1,755M Hasta 117.000 por proyecto Máximo 15 proyectos</t>
  </si>
  <si>
    <t>20230208 000000</t>
  </si>
  <si>
    <t>20230410 000000</t>
  </si>
  <si>
    <t>Openwebsearch Open Call</t>
  </si>
  <si>
    <t>OpenWebSearch.EU project</t>
  </si>
  <si>
    <t>1ª Call para proyectos de Open Search y adquisición de datos. Modalidad participación Individual.</t>
  </si>
  <si>
    <t>Pymes y startups (TIC)</t>
  </si>
  <si>
    <t>Su objetivo es integrar nuevos equipos de proyectos de terceros en el panorama OpenWebSearch.eu e integrarlos en futuras actividades sostenibles de investigación y desarrollo</t>
  </si>
  <si>
    <t>Presupuesto total 2M Hasta 120.000 por proyecto Máximo 10 proyectos</t>
  </si>
  <si>
    <t>20230301 000000</t>
  </si>
  <si>
    <t>EARASHI</t>
  </si>
  <si>
    <t>EARASHI network</t>
  </si>
  <si>
    <t>Call para desarrollar soluciones a escala de demostración y desarrollo dirigidos a los 10 desafíos, para alcanzar el Nivel de Preparación Tecnológica (TRL) 7 a partir de TRL 45. Participación individual y consorciada.</t>
  </si>
  <si>
    <t>Su objetivo es conectar empresas industriales e institutos de investigación líderes en IA, datos y robótica, acelerar negocios y DIH europeos.</t>
  </si>
  <si>
    <t>Presupuesto total 1,2M Hasta 200.000 por proyecto Máximo 10 proyectos</t>
  </si>
  <si>
    <t>20230216 000000</t>
  </si>
  <si>
    <t>20230512 000000</t>
  </si>
  <si>
    <t>SOCIALTECH4EU</t>
  </si>
  <si>
    <t>SocialTech4EU project</t>
  </si>
  <si>
    <t>Call para adquirir servicios relacionados con la formación en competencias TIC, tecnologías emergentes para la economía social, innovación abierta, administración de empresas, marketing y ventas.</t>
  </si>
  <si>
    <t>Empresas sociales (TIC)</t>
  </si>
  <si>
    <t>Su objetivo es fomentar la digitalización y la innovacióntecnología.</t>
  </si>
  <si>
    <t>Hasta 3.00 iniciales 2ª fase hasta 35.000 (máximo 10) por proyecto aceleración y hasta 20.000 (máximo 20) por proyecto innovación</t>
  </si>
  <si>
    <t>Programa Tecnológico Aeronáutico (PTA) 2023</t>
  </si>
  <si>
    <t>Apoyo a proyectos de ID empresarial en cooperación, en tecnologías aeronáuticas. Retos reducción de emisiones, UAS, Sistemas y Digitalización</t>
  </si>
  <si>
    <t>PTA Grandes Empresas Agrupación constituida por entre 3 y 6 socios. PTA PYMES Agrupación constituida por entre 2 y 4 socios.</t>
  </si>
  <si>
    <t>Tecnologías aeronáuticas, que contribuyan a alcanzar algunos de los retos identificados en relación con Tecnologías enfocadas a la reducción de emisiones, UAS, Sistemas y Fabricación inteligente y avanzada.</t>
  </si>
  <si>
    <t>Subvención hasta los límites de intensidad máximos 65 Gran Empresa, 75 Mediana Empresa y 80 Pequeña Empresa.</t>
  </si>
  <si>
    <t>20230404 000000</t>
  </si>
  <si>
    <t>20230516 000000</t>
  </si>
  <si>
    <t>subvenciones para la realización de actividades de digitalización, promoción y comercialización online 2023</t>
  </si>
  <si>
    <t>SODEBUR (SOCIEDAD PARA EL DESARROLLO DE BURGOS RURAL)</t>
  </si>
  <si>
    <t>Esta convocatoria tiene como finalidad que las empresas y personas físicas (autónomas) que desarrollen su actividad mercantil en el medio rural de la provincia de Burgos puedan implementar medios digitales que les permitan mejorar sus modelos de negocio.</t>
  </si>
  <si>
    <t>Personas físicas (autónomas) y jurídicas, que desarrollen una actividad mercantil en la provincia de Burgos. Destinada a todos los sectores</t>
  </si>
  <si>
    <t>I. Actividades de promoción para fomentar a. La realización de contenidos audiovisuales y campañas de videomarketing. b. El uso y gestión de redes sociales, contratación de servicios de gestión de redes sociales, redacción digital y escritura sugestiva</t>
  </si>
  <si>
    <t>El presupuesto de la convocatoria asciende a 300.000 , a cargo del presupuesto de SODEBUR. La cuantía a conceder será del 70 de las actuaciones realizadas hasta 3.000 de forma general o de 5.000 en caso de estrategias integrales de digitalización.</t>
  </si>
  <si>
    <t>20230421 000000</t>
  </si>
  <si>
    <t>20230519 000000</t>
  </si>
  <si>
    <t>Estas ayudas van dirigidas a apoyar a aquellas las empresas y personas en situación de autoempleo cuyo domicilio fiscal esté ubicado en la provincia de Burgos que hayan llevado a cabo, o lo hagan en los próximos meses, actuaciones de digitalización, promo</t>
  </si>
  <si>
    <t>Subvenciones para el año 2023 dirigidas a impulsar la ciberseguridad industrial en Castilla y León</t>
  </si>
  <si>
    <t>Consejería de Industria, Comercio y Empleo</t>
  </si>
  <si>
    <t>proyectos relacionados con la Ciberseguridad industrial en la Comunidad de Castilla y León</t>
  </si>
  <si>
    <t>Empresas industriales y pymes</t>
  </si>
  <si>
    <t>Las actuaciones subvencionables serán los proyectos relacionados con la Ciberseguridad Industrial, ligados al productoproceso industrial, en diferentes áreas.</t>
  </si>
  <si>
    <t>La subvención será a fondo perdido calculada como un porcentaje de los costes considerados subvencionables. El porcentaje de subvención concedido será Para inversiones en activos inmateriales yo materiales (software y hardware), el 50 de los costes c</t>
  </si>
  <si>
    <t>20230422 000000</t>
  </si>
  <si>
    <t>20230522 000000</t>
  </si>
  <si>
    <t>El importe de las ayudas sujetas al Reglamento de mínimis, concedidas a una única empresa y sus vinculadas, no excederá de 200.000 euros, a lo largo de un periodo de 3 ejercicios fiscales.</t>
  </si>
  <si>
    <t>Programa de ayudas para el fomento de solicitudes de patentes y modelos de utilidad españoles para la pyme y personas físicas</t>
  </si>
  <si>
    <t>Oficina Española de Patentes y Marcas</t>
  </si>
  <si>
    <t>Estimular la protección internacional de la tecnología a través de las patentes o de los modelos de utilidad, así como contribuir a la mejora de la competitividad de aquellas entidades del sector privado que han emprendido la búsqueda de mercados fuera de</t>
  </si>
  <si>
    <t>persona con residencia y domicilio fiscal en España que reúna alguno de los siguientes requisitos a) Que sea una persona física. b) Que sea considerado PYME. c) Que sea una gran empresa privada. d) Que sea una institución privada sin ánimo de lucro sin d</t>
  </si>
  <si>
    <t>Subvenciones a la extensión de una solicitud de una patente o de un modelo de utilidad, ante las oficinas nacionales de países terceros u oficinas regionales de patentes, en el marco de procedimientos de concesión de patentes o de modelos de utilidad naci</t>
  </si>
  <si>
    <t>Hasta 90 gastos solicitud</t>
  </si>
  <si>
    <t>20230426 000000</t>
  </si>
  <si>
    <t>20230525 000000</t>
  </si>
  <si>
    <t>A diferencia de las convocatorias anteriores, no se subvencionarán los costes de la traducción al idioma del país en el que se realice la extensión de la patente o del modelo de utilidad.</t>
  </si>
  <si>
    <t>Ayudas para el apoyo a agrupaciones empresariales innovadoras con objeto de mejorar la competitividad de las pequeñas y medianas empresas en el marco del plan de recuperación, transformación y resiliencia</t>
  </si>
  <si>
    <t>Apoyar con recursos públicos las estrategias de innovación y competitividad empresarial desarrolladas por parte de las Agrupaciones Empresariales Innovadoras (AEI)</t>
  </si>
  <si>
    <t>Agrupaciones Empresariales Innovadoras (AEI) y entidades asociadas a ellas</t>
  </si>
  <si>
    <t>Línea 1. Actuaciones de apoyo al funcionamiento de Agrupaciones Empresariales Innovadoras. Línea 2. Estudios de viabilidad técnica. Línea 3. Proyectos de Tecnologías Digitales.</t>
  </si>
  <si>
    <t>Orden ICT11172021, de 9 de octubre, por la que se establecen las bases reguladoras de las ayudas de apoyo a Agrupaciones Empresariales Innovadoras con objeto de mejorar la competitividad de las pequeñas y medianas empresas y</t>
  </si>
  <si>
    <t>20230417 000000</t>
  </si>
  <si>
    <t>20230515 000000</t>
  </si>
  <si>
    <t>RECENTRE (cRosssEctoral Cluster approach for higher CompEtitiveNess through digiTal, gReen transition and rEsilience)</t>
  </si>
  <si>
    <t>EUROCLUSTERS</t>
  </si>
  <si>
    <t>El objetivo general es apoyar financieramente a pequeños consorcios intersectoriales de pymes que creenadopten nuevos modelos de colaboración, que incluyan innovaciones yo tecnologías digitales.</t>
  </si>
  <si>
    <t>Sector tradicional del mueble vivienda, sector informático y sector de la economía verdecircular</t>
  </si>
  <si>
    <t>Convocatoria de ayudas a proyectos de innovación digital intersectoriales. El objetivo general es apoyar financieramente a pequeños consorcios intersectoriales de pymes que creenadopten nuevos modelos de colaboración, que incluyan innovaciones yo tecnol</t>
  </si>
  <si>
    <t>RECENTRE (Clúster intersectorial para una mayor competitividad a través de la transición digital y ecológica y la resiliencia) pone en marcha un mecanismo de financiación en cascada con cheques de innovación, con el fin de apoyar el despliegue de 20 proy</t>
  </si>
  <si>
    <t>20230418 000000</t>
  </si>
  <si>
    <t>20230627 000000</t>
  </si>
  <si>
    <t>Cada propuesta debe ser presentada por un consorcio compuesto por al menos 2 PYME activas en al menos 2 sectores diferentes de los 3 sectores a los que va dirigida sector tradicional del mueble vivienda, sector informático y sector de la economía verde</t>
  </si>
  <si>
    <t>NGI Search 2nd Open Call Financiación de soluciones centradas en Internet</t>
  </si>
  <si>
    <t>NEXT GENERATION INTERNET INITIATIVE (NGI)</t>
  </si>
  <si>
    <t>La convocatoria tiene el objetivo de apoyar proyectos de innovación digital en el ámbito de la búsqueda de datos y recursos en Internet.</t>
  </si>
  <si>
    <t>Los solicitantes pueden ser expertos en tecnología, pymes, centros de conocimiento, organizaciones sin fines de lucro, o consorcios, con un límite de 3 miembros por equipo consorciado.</t>
  </si>
  <si>
    <t>Temas de interés en la convocatoria Potenciar la búsqueda cognitiva Datos de máquinas Taxonomías basadas en IA Análisis de red Herramientas de búsqueda basadas en IA y generadores de contenido Ética en la búsqueda y el descubrimiento Permitir nuevas form</t>
  </si>
  <si>
    <t>Financiación de hasta 50.000 euros para persona física ,y de hasta 150.000 euros para una organización.</t>
  </si>
  <si>
    <t>20230517 000000</t>
  </si>
  <si>
    <t>20230601 000000</t>
  </si>
  <si>
    <t>Hay la opción de recibir tutoría técnica, empresarial y de innovación proporcionada por los socios del proyecto NGI Search.</t>
  </si>
  <si>
    <t>ELSA Open Call proyectos de innovación de pymes basados en Inteligencia Artificial.</t>
  </si>
  <si>
    <t>ELSA Innovation Lab</t>
  </si>
  <si>
    <t>La convocatoria de ELSA Innovation Lab busca 6 pymes que desarrollen aplicaciones y servicios innovadores basados en IA Machine Learning.</t>
  </si>
  <si>
    <t>pymes</t>
  </si>
  <si>
    <t>Su objetivo son proyectos individuales de pymes basados en aplicaciones de IA que puedan vincularse a los 6 casos de uso definidos por ELSA salud conducción autónoma robótica análisis de medios ciberseguridad inteligencia documental</t>
  </si>
  <si>
    <t>Ayudas en cascada de hasta 60.000 euros en 6 meses.</t>
  </si>
  <si>
    <t>20230518 000000</t>
  </si>
  <si>
    <t>20230531 000000</t>
  </si>
  <si>
    <t>ELSA Innovation Lab es una plataforma financiada por la UE dedicada al fomento de la IA segura en varias áreas de aplicación, y que facilita un intercambio continuo entre la investigación académica y la industria. La condición para ser elegibles es que l</t>
  </si>
  <si>
    <t>GENERACIÓN DIGITAL PYMES</t>
  </si>
  <si>
    <t>150 horas lectivas de formación. Contenidos La empresa en la Economía Digital Transformando la Experiencia del Cliente Habilitando Tecnológicamente la transformación Gestionando el Cambio Casos de uso sectoriales Plan de mentorización para el desarr</t>
  </si>
  <si>
    <t>La primera convocatoria de Generación Digital Pymes está dirigida a personas que realicen funciones directivas en pymes de entre 10 y 249 trabajadores.</t>
  </si>
  <si>
    <t>Podrán optar a la formación, como máximo, 2 personas diirectivas por empresa.</t>
  </si>
  <si>
    <t>Bono de Formación que permite solicitar plaza en la entidad de preferencia en la Comunidad Autónoma.</t>
  </si>
  <si>
    <t>20250612 000000</t>
  </si>
  <si>
    <t>Se obtiene Plan de Transformación Digital para tu pyme Profesionales capacitados para tomar decisiones y guiar la transformación digital. Networking y experiencias compartidas con otros directivos y profesionales. Conocimiento de experiencias sectoriales</t>
  </si>
  <si>
    <t>GENERACIÓN DIGITAL AGENTES DEL CAMBIO</t>
  </si>
  <si>
    <t>Jóvenes de hasta 35 años que estén trabajando en una pyme de entre 10 y 249 trabajadoresas, y que cumplan con los siguientes requisitos 1. Nivel de estudios requerido (una de las 3 opciones) a) Título de Grado Universitario o cursando el último año. b)</t>
  </si>
  <si>
    <t>Podrán optar a la formación hasta 3 personas de la misma pyme. Se dará preferencia a la candidatura de mujeres.</t>
  </si>
  <si>
    <t>SUBVENCIONES DIRIGIDAS A LA MODERNIZACIÓN, DIGITALIZACIÓN Y MEJORA DE LA GESTIÓN DEL COMERCIO (2023)</t>
  </si>
  <si>
    <t>Subvenciones para la financiación de proyectos de inversión dirigidos a la modernización, digitalización y mejora de la gestión sobre la base de la innovación de los establecimientos comerciales minoristas de la Comunidad de Castilla y León, tanto de los</t>
  </si>
  <si>
    <t>El establecimiento para el cual se solicita la subvención debe corresponder con alguna de las actividades incluidas en las divisiones, grupos o clases de la Clasificación Nacional de Actividades Económicas (CNAE 2009) que se indican en la Convocatoria.</t>
  </si>
  <si>
    <t>Podrán subvencionarse los proyectos de inversión que tengan como finalidad I. La modernización yo la mejora de la imagen del establecimiento yo su adecuación para el ejercicio de la actividad subvencionable. II. La digitalización mediante la implanta</t>
  </si>
  <si>
    <t>20230609 000000</t>
  </si>
  <si>
    <t>20230622 000000</t>
  </si>
  <si>
    <t>La cuantía de la subvención, por cada establecimiento para el que se solicite, será de un 60 del presupuesto aceptado con los siguientes límites a) No serán subvencionables los proyectos con un presupuesto subvencionable inferior a 2.000 euros. b) El pr</t>
  </si>
  <si>
    <t>SUBVENCIONES DESTINADAS A FINANCIAR ACTUACIONES DIRIGIDAS A FOMENTAR LA CALIDAD DEL SECTOR TURÍSTICO DE CASTILLA Y LEÓN (2023)</t>
  </si>
  <si>
    <t>Convocar para el año 2023, en régimen de concurrencia competitiva, subvenciones destinadas a financiar actuaciones dirigidas a fomentar la calidad del sector turístico de Castilla y León, con la finalidad de apoyar y potenciar el sector turístico, para el</t>
  </si>
  <si>
    <t>Empresas turísticas establecidas en Castilla y León, ya sean personas físicas o jurídicas privadas, titulares de establecimientos turísticos de alojamiento y de restauración, titulares de las agencias de viajes y de las actividades de turismo activo. Agru</t>
  </si>
  <si>
    <t>Diferentes aspectos (ver enlace a web). Para agencias de viajes, por ejemplo,serán subvencionables Creación y puesta en funcionamiento de centrales de reserva y otros canales de comercialización on line. Desarrollo de las TIC en la gestión, promoción y</t>
  </si>
  <si>
    <t>La cuantía de las subvenciones se determinará de acuerdo con las disponibilidades presupuestarias previstas, pudiendo alcanzar hasta el 75 de la inversión aprobada por la Administración. La cuantía se calculará detrayendo de la inversión presentada los g</t>
  </si>
  <si>
    <t>20230608 000000</t>
  </si>
  <si>
    <t>Las actuaciones que resulten subvencionadas se deberán ejecutar en el periodo comprendido entre el 1 de enero de 2022 y el 31 de julio de 2023.</t>
  </si>
  <si>
    <t>Línea ACTIVAFinanciación 2023</t>
  </si>
  <si>
    <t>Tiene como objeto apoyar el desarrollo de proyectos de investigación industrial, proyectos de desarrollo experimental, así como proyectos de innovación en materia de organización y procesos, en el ámbito de la Industria Conectada 4.0 y tendentes al cumpli</t>
  </si>
  <si>
    <t>Se han lanzado 2 líneas de actuación diferenciadas ACTIVA Financiación pyme solo para PYMEs según la definición de la UE. La ayuda será de 5 años (2 años de carencia). ACTIVA Financiación Grandes implementaciones para todas las empresas siendo 10</t>
  </si>
  <si>
    <t>Se establecen una serie de prioridades temáticas tales como Plataformas de interconexión de la cadena de valor de la empresa (software). Soluciones para el tratamiento avanzado de datos (software). Soluciones de inteligencia artificial (software). Proye</t>
  </si>
  <si>
    <t>El presupuesto es de 30 millones de euros de los que 15 millones euros en forma de subvención y 15 millones euros serán en forma de préstamos rembolsables con un tipo de interés bonificado al 0 y un plazo de amortización total de 5 años con 2 de carencia</t>
  </si>
  <si>
    <t>20230529 000000</t>
  </si>
  <si>
    <t>SUBVENCIONES DIRIGIDAS A LA MODERNIZACIÓN DE LAS EMPRESAS ARTESANAS DE LA COMUNIDAD DE CASTILLA Y LEÓN (2023)</t>
  </si>
  <si>
    <t>Consejería de Empleo e Industria Dirección General de Comercio y Consumo.</t>
  </si>
  <si>
    <t>Ayudas al establecimiento artesona a través de la incorporación de TICs</t>
  </si>
  <si>
    <t>Sector Comercio.</t>
  </si>
  <si>
    <t>Para la modernización yo la mejora de la imagen del establecimiento artesano yo su adecuación para el ejercicio de la actividad artesana implantación o la introducción de mejoras en su sistema de producción digitalización mediante la implantación, so</t>
  </si>
  <si>
    <t>La cuantía de la subvención, por cada establecimiento artesano para el que se solicite, será de un 75 del presupuesto aceptado, con los siguientes límites A) No serán subvencionables los proyectos con un presupuesto subvencionable inferior a 500 euros.</t>
  </si>
  <si>
    <t>20230602 000000</t>
  </si>
  <si>
    <t>20230615 000000</t>
  </si>
  <si>
    <t>SUBVENCIONES DIRIGIDAS AL FOMENTO DE LA INDUSTRIA 4.0 O DIGITALIZACIÓN INDUSTRIAL (2023)</t>
  </si>
  <si>
    <t>Convocar, en régimen de concurrencia competitiva, la concesión de subvenciones dirigidas al fomento de la Industria 4.0 o Digitalización Industrial en la Comunidad de Castilla y León para el año 2023, con la finalidad de realizar proyectos que apliquen te</t>
  </si>
  <si>
    <t>Empresas industriales de cualquier tamaño (PYME o gran empresa), que estén válidamente constituidas y que cuenten con algún centro de trabajo en Castilla y León</t>
  </si>
  <si>
    <t>Ver actuaciones y gastos subvencionables en el link a la línea de ayuda</t>
  </si>
  <si>
    <t>El porcentaje de subvención concedido será el 50 de los costes considerados subvencionables, por todos los conceptos. Se incrementará en un 10 para proyectos que se ejecuten en un centro de trabajo ubicado en alguna de las zonas con Programas Territoria</t>
  </si>
  <si>
    <t>20230628 000000</t>
  </si>
  <si>
    <t>20230727 000000</t>
  </si>
  <si>
    <t>El plazo de ejecución de las actividades subvencionadas será desde el 1 de julio de 2022 hasta el 15 de agosto del 2024.</t>
  </si>
  <si>
    <t>Subvención de autoempleo para nuevos emprendedores con resolución única del Ayuntamiento de Burgos, para el año 2023.</t>
  </si>
  <si>
    <t>Local</t>
  </si>
  <si>
    <t>Ayuntamiento de Burgos</t>
  </si>
  <si>
    <t>Son gastos subvencionables aquellos que responderán a la naturaleza de la actividad subvencionada y sean acordes al valor de mercado Las cuotas de cotización a la Seguridad Social en el régimen que le corresponda que estén comprendidas dentro del perio</t>
  </si>
  <si>
    <t>Podrá solicitar las presentes ayudas económicas cualquier persona física o jurídica (excepto los autónomos colaboradores) que haya iniciado una actividad por cuenta propia desde el 1 de abril de 2022 hasta el 31 de marzo de 2023, en el término municipal d</t>
  </si>
  <si>
    <t>Indicado en el apartado Brief</t>
  </si>
  <si>
    <t>Máximo 3.000,00 en gastos subvencionables, cantidad que en ningún caso superará el importe total de los gastos realizados en la actividad subvencionada.</t>
  </si>
  <si>
    <t>Los gastos subvencionables tienen que haberse realizado entre el 1 de abril de 2022 hasta el 31 de marzo de 2023.</t>
  </si>
  <si>
    <t>AIRISE Open Call 1 Apoyo a proyectos de Inteligencia Artificial aplicada a la fabricación</t>
  </si>
  <si>
    <t>AIRISE.EU</t>
  </si>
  <si>
    <t>El consorcio AIRISE (AI for Manufacturing) aporta financiación en cascada a propuestas en las que la Inteligencia Artificial desempeñe un papel clave en el entorno de fabricación.</t>
  </si>
  <si>
    <t>Pueden solicitar esta ayuda pymes o Midcaps, para desarrollo de pruebas de concepto y ejecución de pilotos iniciales, a realizar con la tutorización de AIRISE. Los resultados de cada experimento de aplicación serán publicados.</t>
  </si>
  <si>
    <t>Los proyectos deben de abordar alguno de los siguientes objetivos Mejorar la sostenibilidad en los entornos de fabricación Procesos industriales más ágiles, seguros y resistentes. Aumentar la calidad de condiciones de trabajo en la industria manufacture</t>
  </si>
  <si>
    <t>La ayuda es de hasta el 70, con un máximo de 40.000 euros por empresa. Duración de los proyectos entre 4 y 8 meses. La ayuda directa es para cubrir gastos de personal y fungibles necesarios para desarrollar y proponer el enfoque innovador en el uso de</t>
  </si>
  <si>
    <t>20230523 000000</t>
  </si>
  <si>
    <t>20230630 000000</t>
  </si>
  <si>
    <t>SUBVENCIONES PARA FINANCIAR PROYECTOS EMPRESARIALES DIRIGIDOS A FOMENTAR LA INNOVACIÓN EN EL ÁMBITO TECNOLÓGICO DE LAS PYMES, COFINANCIADAS POR EL FONDO EUROPEO DE DESARROLLO REGIONAL (FEDER) (2023)</t>
  </si>
  <si>
    <t>Concesión de subvenciones, en régimen de concurrencia no competitiva, destinadas a financiar proyectos empresariales dirigidos a fomentar la innovación en las pymes de Castilla y León, en centros de trabajo de Castilla y León</t>
  </si>
  <si>
    <t>Las PYMES deberán tener un centro de trabajo en Castilla y León, y realizar proyectos empresariales considerados como subvencionables. Esta convocatoria no será de aplicación en concreto A las empresas que operan en los sectores de la pesca y la acuicul</t>
  </si>
  <si>
    <t>a) La asistencia técnica para la protección de derechos de propiedad industrial, tanto innovaciones técnicas (que pueda referirse a cualquiera de las etapas que transcurren desde la solicitud hasta la obtención o renovación de patentes y modelos de utilid</t>
  </si>
  <si>
    <t>La ayuda consistirá en una subvención a fondo perdido que se determinará como un porcentaje fijo mínimo del 50 y un máximo del 70 sobre el coste subvencionable. Se establece un límite máximo al presupuesto subvencionable de 20.000 por cada proyecto en</t>
  </si>
  <si>
    <t>20270721 000000</t>
  </si>
  <si>
    <t>Abierta. Finalizará el día de la publicación de la Convocatoria que la sustituya o la publicación del cierre de la misma. Se considerarán gastos subvencionables los efectuados con posterioridad al 4 de enero de 2023 y que hayan sido efectivamente pagados</t>
  </si>
  <si>
    <t>CONVOCATORIA DE AYUDAS DESTINADAS A LA DIGITALIZACIÓN DE EMPRESAS DEL SEGMENTO I (ENTRE 10 Y MENOS DE 50 EMPLEADOS), DENTRO DEL PROGRAMA KIT DIGITAL (C00522SI) (Bono Digital)</t>
  </si>
  <si>
    <t>mejora de la competitividad y el nivel de madurez digital de las empresas y personas en situación de autoempleo comprendidas en el Segmento I</t>
  </si>
  <si>
    <t>todos los sectores productivos</t>
  </si>
  <si>
    <t>importe máximo total de las ayudas reguladas en la presente Convocatoria es de 500M importe máximo de ayuda por beneficiario 12.000</t>
  </si>
  <si>
    <t>Se establecen importes máximos de ayuda por Categoría de Soluciones de Digitalización, así como la duración (12 meses) que debe mantenerse la prestación del servicio para el Segmento I.</t>
  </si>
  <si>
    <t>Generación digital. Agentes de cambio</t>
  </si>
  <si>
    <t>Programa formativo</t>
  </si>
  <si>
    <t>Jovenes de hasta 35 años que cumplan con los requisitos</t>
  </si>
  <si>
    <t>20230712 000000</t>
  </si>
  <si>
    <t>Generación digital. PYMES</t>
  </si>
  <si>
    <t>Incrementar las competencias digitales de las personas directivas de las Pymes para ayudarles a impulsar la transformación digital de sus pymes.</t>
  </si>
  <si>
    <t>Personas de equipos directivos de PYMES</t>
  </si>
  <si>
    <t>ACTIVA Industria 4.0</t>
  </si>
  <si>
    <t>El asesoramiento especializado y personalizado a las pymes beneficiarias.</t>
  </si>
  <si>
    <t>20230713 000000</t>
  </si>
  <si>
    <t>Fecha cierre hasta agotar el crédito presupuestario establecido en la convocatoria.</t>
  </si>
  <si>
    <t>Programa UNICOBanda ancha 2023</t>
  </si>
  <si>
    <t>Favorecer el despliegue de redes de banda ancha capaces de proporcionar velocidades simétricas de al menos 300 Mbps, a las zonas sin cobertura adecuada ni previsiones para su dotación en los próximos tres años, pertenecientes a cualquiera de las 50 provin</t>
  </si>
  <si>
    <t>Operadores de telecomunicaciones. Personas jurídicas pertenecientes al sector privado que ostenten la condición de operador debidamente habilitado.</t>
  </si>
  <si>
    <t>20230807 000000</t>
  </si>
  <si>
    <t>SUBVENCIONES DESTINADAS A LA FINANCIACIÓN DE INVERSIONES EN EL MARCO DEL COMPONENTE 13 IMPULSO A LA PYME, INVERSIÓN 4 APOYO AL COMERCIO, PROGRAMA DE MODERNIZACIÓN DEL COMERCIO FONDO TECNOLÓGICO (20</t>
  </si>
  <si>
    <t>Plan de Recuperación, Transformación y Resiliencia financiado por la Unión Europea Next Generation EU (PRTRNG)</t>
  </si>
  <si>
    <t>COMERCIO AL POR MAYOR Y AL POR MENOR REPARACIÓN DE VEHÍCULOS DE MOTOR Y MOTOCICLETAS</t>
  </si>
  <si>
    <t>Financiar inversiones en el marco del Componente 13 Impulso a la Pyme, Inversión 4 Apoyo al Comercio, Actuación 1.2 Programa de Modernización del Comercio Fondo Tecnológico, del Plan de Recuperación, Transformación y Resiliencia,</t>
  </si>
  <si>
    <t>La cuantía de la subvención será por cada empresa o por cada asociación del sector comercial solicitantes, del 100 del presupuesto subvencionable, con un máximo de 200.000 euros por solicitante</t>
  </si>
  <si>
    <t>20231004 000000</t>
  </si>
  <si>
    <t>PYME Y PERSONAS FÍSICAS QUE DESARROLLAN ACTIVIDAD ECONÓMICA PERSONAS JURÍDICAS QUE NO DESARROLLAN ACTIVIDAD ECONÓMICA</t>
  </si>
  <si>
    <t>Cloud, Data and Artificial Intelligence (DIGITAL2023CLOUDAI04)</t>
  </si>
  <si>
    <t>Programa Europa Digital (DIGITAL)</t>
  </si>
  <si>
    <t>Empresas, los ciudadanos y las administraciones públicas</t>
  </si>
  <si>
    <t>El objetivo es desarrollar una plataforma colaborativa basada en la nube altamente segura y comercialmente viable para la gestión de iniciativas industriales multinacionales sensibles en el sector de la aeronáutica y la seguridad, incluida la seguridad ci</t>
  </si>
  <si>
    <t>Subvención de acción DIGITAL basada en el presupuesto DIGITALAG</t>
  </si>
  <si>
    <t>20230511 000000</t>
  </si>
  <si>
    <t>20231122 000000</t>
  </si>
  <si>
    <t>DIGITAL2023CLOUDAI04AEROSEC (22 mil )</t>
  </si>
  <si>
    <t>Subvenciones para el desarrollo de proyectos de transferencia de conocimiento en el sector agroalimentario de Ávila.</t>
  </si>
  <si>
    <t>Diputación de Avila</t>
  </si>
  <si>
    <t>IDi</t>
  </si>
  <si>
    <t>Autónomos o emprendedores, PYMEs, Otras sin ánimo de lucro.</t>
  </si>
  <si>
    <t>20230901 000000</t>
  </si>
  <si>
    <t>20231104 000000</t>
  </si>
  <si>
    <t>Subvenciones para el apoyo a la adaptación y transformación digital en Valladolid, año 2023.</t>
  </si>
  <si>
    <t>Diputación de Valladolid</t>
  </si>
  <si>
    <t>Desarrollo económico, Digitalización y Marketing.</t>
  </si>
  <si>
    <t>Autónomos o emprendedores, PYMEs.</t>
  </si>
  <si>
    <t>20230906 000000</t>
  </si>
  <si>
    <t>20231031 000000</t>
  </si>
  <si>
    <t>Programa KIT DIGITAL para pymes y autónomos Segmento II destinado a la digitalización de empresas de entre 3 y menos de 10 empleados.</t>
  </si>
  <si>
    <t>Mejorar la competitividad y el nivel de madurez digital de las pequeñas empresas, de las microempresas y de las personas en situación de autoempleo, mediante la adopción de soluciones de digitalización.</t>
  </si>
  <si>
    <t>Para el Segmento II, podrán solicitar la ayuda las pequeñas empresas o microempresas entre 3 y menos de 10 empleados, y trabajadores autónomos, que pertenezcan a cualquier sector o tipología de negocio y cuyo domicilio fiscal esté en España, con una antig</t>
  </si>
  <si>
    <t>20230902 000000</t>
  </si>
  <si>
    <t>Ayudas para Retos de investigación básicafundamental, pilotos innovadores y la formación en tecnologías habilitadoras clave dentro de la cadena de valor. Programa de incentivos 4 para el año 202324.</t>
  </si>
  <si>
    <t>Financiar actuaciones dedicadas a la cadena de valor industrial del hidrógeno renovable, ubicadas en territorio nacional, que puedan considerarse proyectos de retos de investigación básicafundamental, pilotos innovadores y la formación en tecnologías hab</t>
  </si>
  <si>
    <t>Varios. Consultar convocatoria.</t>
  </si>
  <si>
    <t>20230908 000000</t>
  </si>
  <si>
    <t>20231107 000000</t>
  </si>
  <si>
    <t>Ayudas para impulsar el crecimiento y desarrollo de startups y emprendedores innovadores, a través del Programa de Capacidades Emprendedoras Programa de Aceleración de Startups en su modalidad regional y sectorial.</t>
  </si>
  <si>
    <t>Los Programas de Aceleración de Startups Regionales, de ámbito autonómico y multisectorial, tienen por objetivo facilitar a startups y emprendedores innovadores de una comunidad autónoma, actividades de asesoramiento multisectoriales orientadas a hacer cr</t>
  </si>
  <si>
    <t>Empresas emergentes y emprendedores innovadores que desarrollen proyectos de emprendimiento innovadores que cuenten con un modelo de negocio escalable siempre que tengan personalidad física o jurídica, estén legalmente constituidos y debidamente inscritos</t>
  </si>
  <si>
    <t>20230905 000000</t>
  </si>
  <si>
    <t>Subvenciones para el apoyo a la adaptación y transformación digital, año 2023.</t>
  </si>
  <si>
    <t>Fomentar la transformación digital de trabajadores autónomos y microempresas, mediante el apoyo a adquisición de equipamiento yo dispositivos tecnológicos de uso exclusivamente profesional.</t>
  </si>
  <si>
    <t>20230825 000000</t>
  </si>
  <si>
    <t>Convocatoria de ayudas para proyectos innovadores de almacenamiento mediante bombeo reversible en el marco del PRTR</t>
  </si>
  <si>
    <t>Línea de financiación dirigida a impulsar la transformación digital de las empresas marco PRTR</t>
  </si>
  <si>
    <t>Proyectos innovadores de almacenamiento mediante bombeo reversible en el marco del PRTR</t>
  </si>
  <si>
    <t>20230922 000000</t>
  </si>
  <si>
    <t>20231103 000000</t>
  </si>
  <si>
    <t>El plazo de presentación de solicitudes se iniciará el día 22 de septiembre de 2023 y finalizará a las 1200 horas del día 3 de noviembre de 2023 (1100 horas en la comunidad autónoma de Canarias). Transcurrido dicho plazo, no serán admitidas más solicit</t>
  </si>
  <si>
    <t>Concesión de subvenciones para la realización de proyectos de ID</t>
  </si>
  <si>
    <t>subvenciones para la realización de proyectos de ID</t>
  </si>
  <si>
    <t>Las Pymes y las empresas que tengan al menos un centro de trabajo productivo en Castilla y León.</t>
  </si>
  <si>
    <t>La concesión de subvenciones con destino a facilitar la financiación de los proyectos de investigación industrial y desarrollo experimental</t>
  </si>
  <si>
    <t>Presupuesto proyectos entre 20.000 y 500.000 para pymes entre 200.000 y 750.000 para grandes empresa y entre 200.000 y 1.000.000 para proyectos en colaboración, con un porcentaje de ayuda de hasta el 80.</t>
  </si>
  <si>
    <t>20231019 000000</t>
  </si>
  <si>
    <t>Impulsar la innovación abierta a través de la iniciativa Activa Startups</t>
  </si>
  <si>
    <t>convocatoria para la concesión de ayudas dirigidas a impulsar la innovación abierta a través de la iniciativa Activa Startups, en el marco del Plan de Recuperación, Transformación y Resiliencia</t>
  </si>
  <si>
    <t>Podrán tener la condición de empresas beneficiarias, las empresas cuya actividad se refiera a cualquier sector, exceptuando los sectores del grupo A (AGRICULTURA, GANADERÍA, SILVICULTURA Y PESCA) y del grupo F (CONSTRUCCIÓN), con domicilio fiscal en las I</t>
  </si>
  <si>
    <t>CUATROCIENTOS MIL EUROS (400.000 ) que será aportado por la Fundación EOI con cargo al Plan de Recuperación</t>
  </si>
  <si>
    <t>20231020 000000</t>
  </si>
  <si>
    <t>20231120 000000</t>
  </si>
  <si>
    <t>Las ayudas objeto de esta convocatoria tendrán la consideración de subvenciones a fondo perdido. Se concederán como ayudas económicas a las empresas beneficiarias, para cubrir los gastos derivados de la colaboración con una startup, en el trabajo de innov</t>
  </si>
  <si>
    <t>Título</t>
  </si>
  <si>
    <t>link url</t>
  </si>
  <si>
    <t>Marco</t>
  </si>
  <si>
    <t>Entidad Gestora</t>
  </si>
  <si>
    <t>Resumen</t>
  </si>
  <si>
    <t>Beneficiarios</t>
  </si>
  <si>
    <t>Objeto financiable + Tecnologías</t>
  </si>
  <si>
    <t>Tipo de ayuda</t>
  </si>
  <si>
    <t>Estado</t>
  </si>
  <si>
    <t>Fecha de apertura</t>
  </si>
  <si>
    <t>Fecha de cierre</t>
  </si>
  <si>
    <t>Otros aspectos</t>
  </si>
  <si>
    <t>fecha cierre</t>
  </si>
  <si>
    <t>fecha apertura</t>
  </si>
  <si>
    <t>https://www.diputacionavila.esbops20233108202331082023208223.pdf</t>
  </si>
  <si>
    <t>https://www.tramitacastillayleon.jcyl.es/web/jcyl/AdministracionElectronica/es/Plantilla100Detalle/1251181050732/Ayuda012/1284838943524/Propuesta</t>
  </si>
  <si>
    <t>20231106 000000</t>
  </si>
  <si>
    <t>El plazo de presentación de solicitudes comenzará el día siguiente de la publicación del extracto de esta convocatoria en el Boletín Oficial de Castilla y León y finalizará el día de la publicación de la convocatoria que la sustituya o la publicación del cierre de la misma.</t>
  </si>
  <si>
    <t xml:space="preserve">  AYUDAS A LA DIGITALIZACIÓN</t>
  </si>
  <si>
    <t>SUBVENCIONES DIRIGIDAS A PLANES ESTRATÉGICOS DE EMPRESAS EN MATERIA DE I+D DENTRO DEL ÁMBITO DE LA COMUNIDAD DE CASTILLA Y LEÓN, COFINANCIADAS POR EL FONDO EUROPEO DE DESARROLLO REGIONAL (FEDER) 2023</t>
  </si>
  <si>
    <t>https://www.tramitacastillayleon.jcyl.es/web/jcyl/AdministracionElectronica/es/Plantilla100Detalle/1251181050732/enlaces/1285330102573/Propuesta</t>
  </si>
  <si>
    <t>Financiación de los planes estratégicos en materia de I+D, que vayan a ser acometidos por empresas para centros de trabajo de CyL y que se declaren de especial interés por la Junta de CyL, a iniciativa del Instituto, en base al fuerte impacto que puedan tener sobre el tejido social, económico y/o industrial de la Comunidad. Los planes estratégicos comprenden uno o varios proyectos de investigación industrial y/o desarrollo experimental.</t>
  </si>
  <si>
    <t>Empresas que tengan su sede social o al menos un centro de trabajo en Castilla y León y que vayan a realizar proyectos de I+D plasmados en planes que se califiquen como estratégicos y sean declarados de Especial Interés por la Junta de Castilla y León.</t>
  </si>
  <si>
    <t>La ayuda consistirá en una subvención a fondo perdido que se determinará como un porcentaje de los costes de cado uno de los proyectos contenidos en el Plan Estratégico de I+D. Para que el Plan de I+D pueda considerarse estratégico, deberá demostrar que es el eje sobre el que se sustente la competitividad y el crecimiento de la empresa en el centro de trabajo que se trate, por ello no tratará sobre actividades o proyectos aislados, sino que contendrá una planificación estratégica de la empresa basada en la innovación. La ejecución del Plan estratégico supondrá un compromiso de colaboración de la entidad beneficiaria en actuaciones de fomento a la Innovación y el emprendimiento en Castilla y León.</t>
  </si>
  <si>
    <t>La ayuda consistirá en una subvención a fondo perdido que se determinará como un porcentaje de los costes de cado uno de los proyectos contenidos en el Plan Estratégico de I+D.
El presupuesto subvencionable del plan estratégico debe ser superior a 2.000.000 €.
Porcentaje de ayuda de hasta el 70% sobre el gasto admitido.</t>
  </si>
  <si>
    <t>PROYECTOS DE I+D EN COLABORACIÓN EFECTIVA ENTRE CENTROS TECNOLÓGICOS Y EMPRESAS DE CASTILLA Y LEÓN</t>
  </si>
  <si>
    <t>https://www.tramitacastillayleon.jcyl.es/web/jcyl/AdministracionElectronica/es/Plantilla100Detalle/1251181050732/enlaces/1285335985650/Propuesta</t>
  </si>
  <si>
    <t>Convocatoria para la concesión de subvenciones, en régimen de concurrencia no competitiva, destinada a proyectos de I+D en colaboración efectiva entre Centros Tecnológicos de Castilla y León y empresas de Castilla y León, cofinanciadas con el Fondo Europeo de Desarrollo Regional (FEDER), para la financiación de proyectos de I+D de centros tecnológicos, con el objeto de impulsar la investigación y la transferencia de conocimiento, promover la investigación y el desarrollo de nuevas tecnologías y contribuir a la creación de nuevos productos y servicios.</t>
  </si>
  <si>
    <t>Centros Tecnológicos de Castilla y León que cumplan alguna de las condiciones.
Empresas con al menos un centro de trabajo productivo en Castilla y León.</t>
  </si>
  <si>
    <t>Las actuaciones objeto de ayuda de los centros tecnológicos, serán actividades primarias de carácter no económico consistentes en I+D, realizada en centros de trabajo de Castilla y León por el centro tecnológico, para mejorar sus conocimientos y su capacidad científica y tecnológica.
Las actuaciones objeto de ayuda de las empresas, serán actividades de investigación industrial y/o desarrollo experimental en colaboración efectiva con otras empresas y centros tecnológicos, para la creación o mejora, desde el punto de vista tecnológico, de procesos productivos y/o productos concretos, realizados por las empresas en centros de trabajo de Castilla y León.
Los proyectos están incluidos en los ámbitos de la Estrategia Regional de Investigación e Innovación para una Especialización Inteligente (RIS3) de Castilla y León para el período 2021-2027, disponibles en la página Web de la Junta de Castilla y León (http://www.cienciaytecnologia.jcyl.es/). Concretamente, su tipología corresponde al objetivo 2 “Mejorar y fortalecer el ecosistema de investigación e innovación de Castilla y León para avanzar en la especialización”, eje de actuación 2.2. Incrementar la I+I de las empresas de la Comunidad, Medida 2, Proyectos colaborativos empresas-centros tecnológicos.</t>
  </si>
  <si>
    <t>La ayuda de cada proyecto individual consistirá en una subvención a fondo perdido.
Presupuesto proyectos: entre 100.000 € y 1.200.000 € para proyectos individuales y entre 300.000 € y 2.500.000 € para proyectos en cooperación.
Para los centros tecnológicos: Porcentaje máximo de ayuda hasta el 100%.
Para las empresas: Porcentaje máximo hasta el 80%.</t>
  </si>
  <si>
    <t>CONVOCATORIA PARA LA CONCESIÓN DE INCENTIVOS A PROYECTOS INCLUIDOS EN EL PROGRAMA DE INCUBACIÓN AEROESPACIAL DE CASTILLA Y LEÓN ESA BIC CYL.</t>
  </si>
  <si>
    <t>https://www.tramitacastillayleon.jcyl.es/web/jcyl/AdministracionElectronica/es/Plantilla100Detalle/1251181050732/enlaces/1285346840446/Propuesta</t>
  </si>
  <si>
    <t>Convocatoria, en régimen de concurrencia competitiva, para la concesión de incentivos, destinados a apoyar actuaciones de desarrollo de producto y/o de protección de derechos de propiedad intelectual de startups del ámbito aeroespacial, en el marco del Programa ESA BIC CyL.</t>
  </si>
  <si>
    <t>Podrán tener la condición de beneficiarios de los incentivos regulados empresas y personas físicas que cumplan los requisitos.</t>
  </si>
  <si>
    <t>La cuantía máxima de cada incentivo, dirigido a las startups que desarrollen proyectos del ámbito aeroespacial para actuaciones de desarrollo de producto y/o de protección de derechos de propiedad intelectual, será de cincuenta mil euros (50.000 €).</t>
  </si>
  <si>
    <t>1. Constituye el objeto de esta orden el establecimiento de las bases reguladoras que serán de aplicación en las convocatorias de incentivos, en régimen de concurrencia competitiva, destinados a apoyar actuaciones de desarrollo de producto y/o de protección de derechos de propiedad intelectual de startups del ámbito aeroespacial.</t>
  </si>
  <si>
    <t>Empresas con menos de cinco años de existencia
Quedan excluidas las comunidades de bienes, las sociedades civiles, las asociaciones y las fundaciones sin ánimo de lucro.</t>
  </si>
  <si>
    <t>SUBVENCIONES PARA DESARROLLAR Y MEJORAR LAS CAPACIDADES DE INVESTIGACIÓN E INNOVACIÓN DEL TEJIDO EMPRESARIAL A TRAVÉS DEL APOYO A LAS AGRUPACIONES EMPRESARIALES INNOVADORAS (AAEEII), COFINANCIADAS POR EL FONDO EUROPEO DE DESARROLLO REGIONAL (FEDER) 2024</t>
  </si>
  <si>
    <t>Convocatoria de subvenciones, en régimen de concurrencia competitiva, destinadas a promover la ejecución de proyectos cooperativos innovadores realizados por las Agrupaciones Empresariales Innovadoras (AAEEII) que desarrollen y mejoren las capacidades de investigación e innovación del tejido empresarial de Castilla y León.
Las ayudas objeto de esta convocatoria podrán ser cofinanciadas al 60% por el Fondo Europeo de Desarrollo Regional FEDER (SA.105132).</t>
  </si>
  <si>
    <t>Agrupaciones Empresariales Innovadoras o Clústeres, inscritos en el registro de AAEEII de Castilla y León.</t>
  </si>
  <si>
    <t>Proyectos cooperativos innovadores realizados por las Agrupaciones Empresariales Innovadoras (AAEEII), que desarrollen y mejoren las capacidades de investigación e innovación del tejido empresarial de Castilla y León. Serán subvencionables los proyectos y actuaciones siguientes:
a) Actividades de investigación industrial.
b) Actividades de desarrollo experimental.
c) Estudios de viabilidad técnica.
d) Innovación en materia de organización.
e) Innovación en materia de procesos.</t>
  </si>
  <si>
    <t>Actuaciones de investigación industrial: La subvención que podrá recibir cada beneficiario será del 50% de los costes subvencionables. Este porcentaje podrá aumentarse hasta alcanzar un máximo del 80% de los costes subvencionables.
Actuaciones de desarrollo experimental: La subvención que podrá recibir cada beneficiario será del 25% de los costes subvencionables. Este porcentaje podrá aumentarse hasta alcanzar un máximo del 60% de los costes subvencionables.
Actuaciones de estudios de viabilidad: La subvención que podrá recibir cada beneficiario será del 50% de los costes subvencionables, y podrá aumentarse en 10 puntos porcentuales en caso de medianas empresas, y 20 puntos porcentuales para pequeñas empresas
Actuaciones de innovación en materia de organización y de innovación en materia de procesos: La subvención que podrá recibir cada beneficiario será del 50% de los costes subvencionables para PYMES, y del 15% en el caso de las grandes empresas.</t>
  </si>
  <si>
    <t>https://www.tramitacastillayleon.jcyl.es/web/jcyl/AdministracionElectronica/es/Plantilla100Detalle/1251181050732/Ayuda012/1285344956012/Propuesta</t>
  </si>
  <si>
    <t>ADQUISICIÓN DE NUEVAS COMPETENCIAS PARA LA TRANSFORMACIÓN DIGITAL, VERDE Y PRODUCTIVA</t>
  </si>
  <si>
    <t>Extracto:
https://www.boe.es/diario_boe/txt.php?id=BOE-B-2023-34734
Convocatoria:
https://www.infosubvenciones.es/bdnstrans/GE/es/convocatoria/727965</t>
  </si>
  <si>
    <t xml:space="preserve">Financiación de formación (microcréditos)» para la formación de personas trabajadoras ocupadas y desempleadas, mediante la realización de acciones de formación que, de acuerdo con su perfil, se destinen a impulsar o mejorar su carrera profesional o su empleabilidad, o permitan adquirir nuevas competencias para la transformación digital, verde y productiva.
</t>
  </si>
  <si>
    <t>Ministerio de Trabajo y Economía Social</t>
  </si>
  <si>
    <t xml:space="preserve">a): Las personas trabajadoras ocupadas, tanto por cuenta ajena como personas trabajadoras pertenecientes al Régimen Especial de Trabajadores Autónomos y las personas socias trabajadoras de entidades de la Economía Social, y personas desempleadas, que realicen formación en los términos establecidos en la convocatoria desde 1 de enero de 2023 hasta el momento de presentación de la solicitud.
b): Las entidades impartidoras de la formación, constituidas con anterioridad a 1 de enero de 2023, que justifiquen la disponibilidad de instalaciones y recursos que destinarán a la impartición de la formación </t>
  </si>
  <si>
    <t>La financiación de esta convocatoria asciende a 22.996.000 euros</t>
  </si>
  <si>
    <t>Las resoluciones de concesión se dictarán por orden de presentación de solicitudes, una vez realizadas las comprobaciones de concurrencia de la actuación subvencionable y el cumplimiento del resto de requisitos exigidos, hasta el agotamiento del crédito presupuestario asignado en la convocatoria.</t>
  </si>
  <si>
    <t>PROGRAMA RETO RURAL DIGITAL</t>
  </si>
  <si>
    <t>Bases reguladoras y convocatoria:
https://www.boe.es/diario_boe/txt.php?id=BOE-A-2023-25225</t>
  </si>
  <si>
    <t>Ministerio para la Transición Ecológica y el Reto Demográfico</t>
  </si>
  <si>
    <t xml:space="preserve">Las ayudas se destinarán al desarrollo de programas formativos de capacitación digital en las zonas de prioridad demográfica, orientadas fundamentalmente a colectivos para los que se requiere una perspectiva demográfica específica: las personas mayores, las mujeres, la infancia y juventud y personas desempleadas. Las ayudas serán gestionadas por las entidades beneficiarias que serán tanto entidades sin ánimo de lucro como entidades locales, a través de programas de formación en competencias digitales.
Los programas de formación deberán tener una duración mínima de 7,5 horas, y deberán estar enfocados a la adquisición de competencias digitales básicas por parte de la ciudadanía, de forma que pueda operar con confianza y seguridad a la hora de comunicarse, informarse o realizar transacciones, como comprar, relacionarse e interactuar con las Administraciones Públicas, así como resolver los problemas sencillos del entorno digital.
</t>
  </si>
  <si>
    <t>Entidades sociales sin ánimo de lucro y las entidades locales</t>
  </si>
  <si>
    <t>Presupuestos: 21,000,000 euros
Cada beneficiario podrá presentar en su solicitud un único proyecto. El importe total solicitado por cada beneficiario no podrá ser inferior a 200.000 euros ni superar el importe de 750.000 euros.</t>
  </si>
  <si>
    <t>PROMOCIÓN DEL SECTOR DEL VIDEOJUEGO, DEL PÓDCAST Y DE OTRAS FORMAS DE CREACIÓN DIGITAL</t>
  </si>
  <si>
    <t>Extracto:
https://www.boe.es/diario_boe/txt.php?id=BOE-B-2024-243</t>
  </si>
  <si>
    <t>Ministerio de Cultura</t>
  </si>
  <si>
    <t>Promover las inversiones que permitan el desarrollo, producción, edición, distribución y/o comercialización de proyectos del sector del videojuego, del pódcast y de otras formas de creación digital, así como la mejora de la calidad de la oferta de los mismos.
Incrementar la generación de empleo fomentando el desarrollo, la profesionalización y la vertebración del sector, así como fomentar la presencia de la mujer en la industria e impulsar la consecución de la igualdad de género.
Aumentar la visibilidad del sector español del videojuego, del pódcast y de otras formas de creación digital, en los principales mercados internacionales del sector.
Fomentar el uso responsable y saludable de las nuevas tecnologías, así como la defensa de los derechos de propiedad intelectual y el cumplimiento de los Objetivos de Desarrollo Sostenible a nivel global.
Estimular las capacidades de innovación, emprendimiento y transformación estratégica en el sector del videojuego, del pódcast y de la creación digital.</t>
  </si>
  <si>
    <t>Todos los sectores productivos. Trabajadores Autónomos, las microempresas, pequeñas y medianas empresas</t>
  </si>
  <si>
    <t>SUBVENCIÓN Y ENTREGA DINERARIA SIN CONTRAPRESTACIÓN</t>
  </si>
  <si>
    <t>DESPLIEGUE DE PLATAFORMAS TECNOLÓGICAS Y SOLUCIONES DIGITALES EN LOS DESTINOS DE LA RED DE DESTINOS TURÍSTICOS INTELIGENTES</t>
  </si>
  <si>
    <t>Bases reguladoras y convocatoria:
https://www.boe.es/diario_boe/txt.php?id=BOE-A-2023-26601</t>
  </si>
  <si>
    <t>Ministerio de Industria y Turismo</t>
  </si>
  <si>
    <t xml:space="preserve">Los tipos de actuaciones y proyectos susceptibles de recibir las ayudas serán los siguientes:
a) Línea 1: Proyectos de desarrollo tecnológico innovadores. Los proyectos presentados en esta modalidad deberán ser proyectos que incorporarán tecnologías emergentes o de nuevo desarrollo con riesgo tecnológico medio/alto.
b) Línea 2: Proyectos de implantación y adopción de nuevas tecnologías. Los proyectos presentados en la modalidad deberán ser proyectos demostradores de conocimientos y/o tecnologías testadas previamente en mercado (niveles de madurez de la tecnología TRL 8-9), con riesgo tecnológico bajo, que permitan mejorar la competitividad del sector turístico mediante la implantación y adopción de tecnologías existentes en el ámbito del internet de las cosas, 5G, big data y ciberseguridad o aplicaciones móviles, sin carácter limitativo. 
c) Línea 3. Proyectos de implantación y adopción por parte de empresas pymes de tecnologías testadas previamente en el mercado con riesgo tecnológico bajo o en general de procesos de digitalización de sus actividades. </t>
  </si>
  <si>
    <t>Financiar el desarrollo e implantación, por parte de entidades locales pertenecientes a la Red DTI, de plataformas de inteligentes de destino y/o módulos de referencia opcionales dentro de las mismas, y la interconexión e integración de las diferentes plataformas y soluciones con la plataforma estatal que conformará en nodo central de la Plataforma Inteligente de Destino (PID).
Para alcanzar esta finalidad, los proyectos presentados deberán permitir el desarrollo de plataformas inteligentes de destino y/o módulos de referencia opcionales dentro de las mismas, en el caso de que el destino ya cuente con plataformas inteligentes.</t>
  </si>
  <si>
    <t>a) Los municipios, representados por sus respectivos ayuntamientos, las provincias a través de las diputaciones provinciales y forales, e islas a través de los cabildos y consejos insulares, con independencia de su tamaño y población.
b) Las Comarcas o mancomunidades u otras entidades locales de base agrupacional previstas en la Ley 7/1985, de 2 de abril, Reguladora de las Bases del Régimen Local.
c) Las Comunidades Autónomas uniprovinciales</t>
  </si>
  <si>
    <t>Las ayudas para el desarrollo de proyectos objeto se concederán en la modalidad de subvención, mediante pago anticipado.
Se asignan 96.346.110,56 euros, repartidos en dos modalidades de subvención según se indica en el artículo 32. El presupuesto máximo financiable por proyecto será de 6.000.000 euros.
La intensidad máxima de la ayuda será hasta el 100 % del presupuesto total del proyecto con el importe máximo de 6.000.000 euros.</t>
  </si>
  <si>
    <t>Bases reguladoras y convocatoria:
https://www.boe.es/diario_boe/txt.php?id=BOE-A-2023-26792</t>
  </si>
  <si>
    <t>PROYECTOS DE DIGITALIZACIÓN DE «ÚLTIMA MILLA» EN EMPRESAS DEL SECTOR TURÍSTICO</t>
  </si>
  <si>
    <t>a) Las empresas del sector turístico.
b) Asociaciones sin ánimo de lucro, federaciones y confederaciones del sector 
c) Empresas cuya actividad les permita constituirse en socios tecnológicos y con experiencia demostrable en el ámbito turístico.</t>
  </si>
  <si>
    <t>La intensidad máxima de las ayudas en las líneas 1 y 2 será de hasta el 50 % del presupuesto financiable del proyecto, en el caso de pymes. No obstante, en aquellos supuestos en que participen grandes empresas en las mencionadas líneas de ayudas 1 y 2, la intensidad máxima para las grandes empresas será del 15 % del presupuesto financiable. En el caso de las asociaciones sin ánimo de lucro y federaciones y confederaciones del sector turístico que acrediten que no realizan actividad económica, la intensidad máxima será del 70 % del presupuesto financiable al no ser consideradas ayudas de Estado. Las ayudas a grandes empresas únicamente serán compatibles con el mercado interior si colaboran de manera efectiva con pyme en la actividad objeto de ayuda y si las pyme con las que colaboran corren con un mínimo del 30 % de los costes subvencionables.</t>
  </si>
  <si>
    <t>La fecha de inicio de la actuación no podrá ser anterior al día siguiente de la presentación de la solicitud de ayuda. El plazo de ejecución máximo será de doce meses para los proyectos de Línea 1 y 2 y de nueve meses para los proyectos de Línea 3. El plazo se iniciará al día siguiente de la resolución definitiva de concesión.
Composición de los proyectos.
Para la presentación de proyectos, el número mínimo de socios en agrupación es de cinco miembros en la Línea 1 y de tres en la Línea 2.
De entre los miembros constituidos en agrupación de la Línea 1, al menos 4 deber ser empresas recogidas en el epígrafe a) del punto 1 del artículo 7 de la orden de bases; de entre los miembros constituidos en agrupación de la Línea 2 al menos 2 deben ser empresa recogidas en al epígrafe a) del punto 1 del artículo 7.
Además, podrán participar en la agrupación máximo una empresa con capacidad técnica para convertirse en socio tecnológico y con demostrada experiencia en el sector turístico, tal como se definen en el epígrafe c) del punto 1 del artículo 7 de la orden de bases, y/o una asociación sin ánimo de lucro, o federación o confederación del sector turístico, definidas en el punto b) del punto 1 del artículo 7 de la orden.
En el caso de que en las agrupaciones participe alguna gran empresa, al menos el 30 % del total de los costes subvencionables estarán asignados a pymes, de acuerdo con la definición del anexo I del Reglamento (UE) número 651/2014 de la Comisión, de 17 de junio de 2014.</t>
  </si>
  <si>
    <t xml:space="preserve">Convocatoria para la concesión de ayudas, en el ámbito de la digitalización, para la transformación digital de los sectores productivos estratégicos mediante la creación de demostradores y casos de uso de Espacios de Compartición de Datos, en el marco del Plan de Recuperación, Transformación y Resiliencia-Next Generation EU </t>
  </si>
  <si>
    <t>https://www.boe.es/boe/dias/2024/01/18/pdfs/BOE-A-2024-969.pdf</t>
  </si>
  <si>
    <t>MINISTERIO PARA LA TRANSFORMACIÓN DIGITAL Y DE LA FUNCIÓN PÚBLICA</t>
  </si>
  <si>
    <t>Proyectos de desarrollo experimental, agrupados en dos líneas para dos tipologías de proyectos.
Línea 1. Centros demostradores: El objetivo principal de esta línea es el de fomentar el desarrollo de plataformas tecnológicas de espacios de datos en los sectores estratégicos.
Línea 2. Casos de Uso: El objetivo principal de esta línea es el de fomentar el desarrollo de casos de uso concretos para promover el impulso de los sectores estratégicos.</t>
  </si>
  <si>
    <t>Entidades con personalidad jurídica propia y constituidas legalmente en España,
bajo cualquier forma jurídica</t>
  </si>
  <si>
    <t>Ayudas destinadas a la digitalización de las comunidades de bienes, las sociedades civiles con objeto mercantil, las sociedades civiles profesionales y las explotaciones agrarias de titularidad compartida, de los segmentos I, II, y III, en el marco de la Agenda España Digital 2026, el Plan de Digitalización PYMEs 2021-2025 y el PRTR (PKD)</t>
  </si>
  <si>
    <t>https://sede.red.gob.es/es/procedimientos/convocatoria-de-las-ayudas-destinadas-la-digitalizacion-de-las-comunidades-de-bienes</t>
  </si>
  <si>
    <t>Adopción de soluciones de digitalización cuyo fin sea sustituir a las soluciones ya adoptadas por el beneficiario, siempre que supongan una mejora funcional</t>
  </si>
  <si>
    <t>Pequeñas empresas, microempresas y personas en situación de autoempleo</t>
  </si>
  <si>
    <t xml:space="preserve">Catálogo de Soluciones de Digitalización del Programa Kit Digital </t>
  </si>
  <si>
    <t>Bono digital</t>
  </si>
  <si>
    <t xml:space="preserve">6G-SANDBOX </t>
  </si>
  <si>
    <t>6G-SANDBOX</t>
  </si>
  <si>
    <t>https://6g-sandbox.eu/opencall/</t>
  </si>
  <si>
    <t>Su objetivo es crear una instalación modular para la experimentación en la investigación de 6G.                                                                                                                                                                                                                                                                                                                                                       OPCIÓN 1 – Nuevas infraestructuras y funcionalidades (extensiones): Ampliar y preparar la infraestructura experimental 6G-SANDBOX para la experimentación avanzada en las próximas call de experimentación del proyecto.
OPCIÓN 2 – Experimentos innovadores: Iniciar los primeros experimentos innovadores financiados en la infraestructura 6G-SANDBOX. "</t>
  </si>
  <si>
    <t>PYMES</t>
  </si>
  <si>
    <t>Presupuesto total:540.000€/ hasta 60.000€ pyme (Máximo 9 beneficiarios)</t>
  </si>
  <si>
    <t xml:space="preserve">TIC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</si>
</sst>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6" x14ac:knownFonts="1">
    <font>
      <sz val="11"/>
      <color indexed="8"/>
      <name val="Calibri"/>
    </font>
    <font>
      <sz val="14"/>
      <color indexed="8"/>
      <name val="Calibri"/>
      <family val="2"/>
    </font>
    <font>
      <b/>
      <i/>
      <sz val="24"/>
      <color theme="9" tint="-0.499984740745262"/>
      <name val="Calibri"/>
      <family val="2"/>
    </font>
    <font>
      <u/>
      <sz val="11"/>
      <color theme="10"/>
      <name val="Calibri"/>
    </font>
    <font>
      <sz val="11"/>
      <color indexed="8"/>
      <name val="Calibri"/>
      <family val="2"/>
    </font>
    <font>
      <sz val="8"/>
      <name val="Calibri"/>
      <family val="2"/>
    </font>
  </fonts>
  <fills count="2">
    <fill>
      <patternFill patternType="none"/>
    </fill>
    <fill>
      <patternFill patternType="gray125"/>
    </fill>
  </fills>
  <borders count="1">
    <border>
      <left/>
      <right/>
      <top/>
      <bottom/>
      <diagonal/>
    </border>
  </borders>
  <cellStyleXfs count="2">
    <xf numFmtId="0" fontId="0" fillId="0" borderId="0" applyFill="0" applyProtection="0"/>
    <xf numFmtId="0" fontId="3" fillId="0" borderId="0" applyNumberFormat="0" applyFill="0" applyBorder="0" applyAlignment="0" applyProtection="0"/>
  </cellStyleXfs>
  <cellXfs count="13">
    <xf numFmtId="0" fontId="0" fillId="0" borderId="0" xfId="0" applyFill="1" applyProtection="1"/>
    <xf numFmtId="0" fontId="0" fillId="0" borderId="0" xfId="0" applyFill="1" applyAlignment="1" applyProtection="1">
      <alignment horizontal="center" vertical="center" wrapText="1"/>
    </xf>
    <xf numFmtId="0" fontId="0" fillId="0" borderId="0" xfId="0" applyFill="1" applyAlignment="1" applyProtection="1">
      <alignment vertical="center" wrapText="1"/>
    </xf>
    <xf numFmtId="14" fontId="0" fillId="0" borderId="0" xfId="0" applyNumberFormat="1" applyFill="1" applyAlignment="1" applyProtection="1">
      <alignment vertical="center" wrapText="1"/>
    </xf>
    <xf numFmtId="164" fontId="0" fillId="0" borderId="0" xfId="0" applyNumberFormat="1" applyFill="1" applyAlignment="1" applyProtection="1">
      <alignment vertical="center" wrapText="1"/>
    </xf>
    <xf numFmtId="0" fontId="1" fillId="0" borderId="0" xfId="0" applyFont="1" applyFill="1" applyAlignment="1" applyProtection="1">
      <alignment vertical="center" wrapText="1"/>
    </xf>
    <xf numFmtId="164" fontId="1" fillId="0" borderId="0" xfId="0" applyNumberFormat="1" applyFont="1" applyFill="1" applyAlignment="1" applyProtection="1">
      <alignment vertical="center" wrapText="1"/>
    </xf>
    <xf numFmtId="0" fontId="1" fillId="0" borderId="0" xfId="0" applyFont="1" applyFill="1" applyAlignment="1" applyProtection="1">
      <alignment horizontal="center" vertical="center" wrapText="1"/>
    </xf>
    <xf numFmtId="0" fontId="3" fillId="0" borderId="0" xfId="1" applyFill="1" applyAlignment="1" applyProtection="1">
      <alignment vertical="center" wrapText="1"/>
    </xf>
    <xf numFmtId="0" fontId="2" fillId="0" borderId="0" xfId="0" applyFont="1" applyFill="1" applyAlignment="1" applyProtection="1">
      <alignment horizontal="left" vertical="center" wrapText="1"/>
    </xf>
    <xf numFmtId="0" fontId="4" fillId="0" borderId="0" xfId="0" applyFont="1" applyFill="1" applyAlignment="1" applyProtection="1">
      <alignment vertical="center" wrapText="1"/>
    </xf>
    <xf numFmtId="14" fontId="4" fillId="0" borderId="0" xfId="0" applyNumberFormat="1" applyFont="1" applyFill="1" applyAlignment="1" applyProtection="1">
      <alignment vertical="center" wrapText="1"/>
    </xf>
    <xf numFmtId="0" fontId="2" fillId="0" borderId="0" xfId="0" applyFont="1" applyFill="1" applyAlignment="1" applyProtection="1">
      <alignment horizontal="left" vertical="center" wrapText="1"/>
    </xf>
  </cellXfs>
  <cellStyles count="2">
    <cellStyle name="Hipervínculo" xfId="1" builtinId="8"/>
    <cellStyle name="Normal" xfId="0" builtinId="0"/>
  </cellStyles>
  <dxfs count="15">
    <dxf>
      <numFmt numFmtId="164" formatCode="[$-F800]dddd\,\ mmmm\ dd\,\ yyyy"/>
      <fill>
        <patternFill patternType="none">
          <fgColor indexed="64"/>
          <bgColor indexed="65"/>
        </patternFill>
      </fill>
      <alignment horizontal="general" vertical="center" textRotation="0" wrapText="1" indent="0" justifyLastLine="0" shrinkToFit="0" readingOrder="0"/>
      <protection locked="1" hidden="0"/>
    </dxf>
    <dxf>
      <numFmt numFmtId="164" formatCode="[$-F800]dddd\,\ mmmm\ dd\,\ yyyy"/>
      <alignment vertical="center" textRotation="0" wrapText="1" indent="0" justifyLastLine="0" shrinkToFit="0" readingOrder="0"/>
    </dxf>
    <dxf>
      <numFmt numFmtId="164" formatCode="[$-F800]dddd\,\ mmmm\ dd\,\ yyyy"/>
      <fill>
        <patternFill patternType="none">
          <fgColor indexed="64"/>
          <bgColor indexed="65"/>
        </patternFill>
      </fill>
      <alignment horizontal="general" vertical="center" textRotation="0" wrapText="1" indent="0" justifyLastLine="0" shrinkToFit="0" readingOrder="0"/>
      <protection locked="1" hidden="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protection locked="1" hidden="0"/>
    </dxf>
    <dxf>
      <alignment vertical="center" textRotation="0" wrapText="1" indent="0" justifyLastLine="0" shrinkToFit="0" readingOrder="0"/>
    </dxf>
    <dxf>
      <alignment horizontal="center" vertical="center" textRotation="0" wrapText="1" indent="0" justifyLastLine="0" shrinkToFit="0" readingOrder="0"/>
    </dxf>
    <dxf>
      <alignment vertical="center" textRotation="0" wrapText="1" indent="0" justifyLastLine="0" shrinkToFit="0" readingOrder="0"/>
    </dxf>
    <dxf>
      <font>
        <strike val="0"/>
        <outline val="0"/>
        <shadow val="0"/>
        <u val="none"/>
        <vertAlign val="baseline"/>
        <sz val="14"/>
        <color indexed="8"/>
        <name val="Calibri"/>
        <family val="2"/>
        <scheme val="none"/>
      </font>
      <alignmen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1095375</xdr:colOff>
      <xdr:row>0</xdr:row>
      <xdr:rowOff>28575</xdr:rowOff>
    </xdr:from>
    <xdr:to>
      <xdr:col>3</xdr:col>
      <xdr:colOff>2373203</xdr:colOff>
      <xdr:row>0</xdr:row>
      <xdr:rowOff>723900</xdr:rowOff>
    </xdr:to>
    <xdr:pic>
      <xdr:nvPicPr>
        <xdr:cNvPr id="3" name="Imagen 2" descr="logo_CentraTec_AF">
          <a:extLst>
            <a:ext uri="{FF2B5EF4-FFF2-40B4-BE49-F238E27FC236}">
              <a16:creationId xmlns:a16="http://schemas.microsoft.com/office/drawing/2014/main" id="{3B9E48EB-5910-5CE8-A8F7-18AF3C205B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0" y="28575"/>
          <a:ext cx="1277828" cy="695325"/>
        </a:xfrm>
        <a:prstGeom prst="rect">
          <a:avLst/>
        </a:prstGeom>
        <a:noFill/>
        <a:ln>
          <a:noFill/>
        </a:ln>
      </xdr:spPr>
    </xdr:pic>
    <xdr:clientData/>
  </xdr:twoCellAnchor>
  <xdr:twoCellAnchor editAs="oneCell">
    <xdr:from>
      <xdr:col>3</xdr:col>
      <xdr:colOff>2571750</xdr:colOff>
      <xdr:row>0</xdr:row>
      <xdr:rowOff>95250</xdr:rowOff>
    </xdr:from>
    <xdr:to>
      <xdr:col>4</xdr:col>
      <xdr:colOff>219075</xdr:colOff>
      <xdr:row>0</xdr:row>
      <xdr:rowOff>707828</xdr:rowOff>
    </xdr:to>
    <xdr:pic>
      <xdr:nvPicPr>
        <xdr:cNvPr id="4" name="Imagen 3" descr="Interfaz de usuario gráfica, Aplicación&#10;&#10;Descripción generada automáticamente">
          <a:extLst>
            <a:ext uri="{FF2B5EF4-FFF2-40B4-BE49-F238E27FC236}">
              <a16:creationId xmlns:a16="http://schemas.microsoft.com/office/drawing/2014/main" id="{703CDE4F-169E-B539-969E-4DEF8998B39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2119"/>
        <a:stretch/>
      </xdr:blipFill>
      <xdr:spPr bwMode="auto">
        <a:xfrm>
          <a:off x="8334375" y="95250"/>
          <a:ext cx="971550" cy="612578"/>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3790950</xdr:colOff>
      <xdr:row>0</xdr:row>
      <xdr:rowOff>38100</xdr:rowOff>
    </xdr:from>
    <xdr:to>
      <xdr:col>3</xdr:col>
      <xdr:colOff>1000125</xdr:colOff>
      <xdr:row>0</xdr:row>
      <xdr:rowOff>704850</xdr:rowOff>
    </xdr:to>
    <xdr:grpSp>
      <xdr:nvGrpSpPr>
        <xdr:cNvPr id="5" name="Grupo 4">
          <a:extLst>
            <a:ext uri="{FF2B5EF4-FFF2-40B4-BE49-F238E27FC236}">
              <a16:creationId xmlns:a16="http://schemas.microsoft.com/office/drawing/2014/main" id="{B1313E24-DD8D-06D7-25AF-04CAB4EC1A90}"/>
            </a:ext>
          </a:extLst>
        </xdr:cNvPr>
        <xdr:cNvGrpSpPr/>
      </xdr:nvGrpSpPr>
      <xdr:grpSpPr>
        <a:xfrm>
          <a:off x="4286250" y="38100"/>
          <a:ext cx="3200400" cy="666750"/>
          <a:chOff x="0" y="0"/>
          <a:chExt cx="2172236" cy="532196"/>
        </a:xfrm>
      </xdr:grpSpPr>
      <xdr:pic>
        <xdr:nvPicPr>
          <xdr:cNvPr id="6" name="Imagen 5" descr="El ICE de Castilla y León convoca una plaza de Responsable de Comunicación  interino - EXTRADIGITAL - Agencias y Medios de Comunicación">
            <a:extLst>
              <a:ext uri="{FF2B5EF4-FFF2-40B4-BE49-F238E27FC236}">
                <a16:creationId xmlns:a16="http://schemas.microsoft.com/office/drawing/2014/main" id="{F5C5932F-D283-992D-3F71-5680D51E18A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8161" y="0"/>
            <a:ext cx="854075" cy="532130"/>
          </a:xfrm>
          <a:prstGeom prst="rect">
            <a:avLst/>
          </a:prstGeom>
          <a:noFill/>
          <a:ln>
            <a:noFill/>
          </a:ln>
        </xdr:spPr>
      </xdr:pic>
      <xdr:pic>
        <xdr:nvPicPr>
          <xdr:cNvPr id="7" name="Imagen 6" descr="logo-ice-jcyl - INCLISAL (Interclima Salamanca, S.L.)">
            <a:extLst>
              <a:ext uri="{FF2B5EF4-FFF2-40B4-BE49-F238E27FC236}">
                <a16:creationId xmlns:a16="http://schemas.microsoft.com/office/drawing/2014/main" id="{262304D8-C788-0082-85BA-312BEA4F218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5626"/>
            <a:ext cx="1317625" cy="496570"/>
          </a:xfrm>
          <a:prstGeom prst="rect">
            <a:avLst/>
          </a:prstGeom>
          <a:noFill/>
          <a:ln>
            <a:noFill/>
          </a:ln>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M110" totalsRowShown="0" headerRowDxfId="14" dataDxfId="13">
  <autoFilter ref="A2:M110" xr:uid="{00000000-0009-0000-0100-000001000000}"/>
  <tableColumns count="13">
    <tableColumn id="1" xr3:uid="{00000000-0010-0000-0000-000001000000}" name="ID" dataDxfId="12"/>
    <tableColumn id="2" xr3:uid="{00000000-0010-0000-0000-000002000000}" name="Título" dataDxfId="11"/>
    <tableColumn id="12" xr3:uid="{4EE63EBB-8981-4906-89CE-D340B67954C6}" name="Estado" dataDxfId="10"/>
    <tableColumn id="3" xr3:uid="{00000000-0010-0000-0000-000003000000}" name="link url" dataDxfId="9"/>
    <tableColumn id="4" xr3:uid="{00000000-0010-0000-0000-000004000000}" name="Marco" dataDxfId="8"/>
    <tableColumn id="5" xr3:uid="{00000000-0010-0000-0000-000005000000}" name="Entidad Gestora" dataDxfId="7"/>
    <tableColumn id="6" xr3:uid="{00000000-0010-0000-0000-000006000000}" name="Resumen" dataDxfId="6"/>
    <tableColumn id="7" xr3:uid="{00000000-0010-0000-0000-000007000000}" name="Beneficiarios" dataDxfId="5"/>
    <tableColumn id="8" xr3:uid="{00000000-0010-0000-0000-000008000000}" name="Objeto financiable + Tecnologías" dataDxfId="4"/>
    <tableColumn id="9" xr3:uid="{00000000-0010-0000-0000-000009000000}" name="Tipo de ayuda" dataDxfId="3"/>
    <tableColumn id="18" xr3:uid="{00000000-0010-0000-0000-000012000000}" name="fecha apertura" dataDxfId="2">
      <calculatedColumnFormula>MID(N3,7,2)&amp;"/"&amp;MID(N3,5,2)&amp;"/"&amp;LEFT(N3,4)</calculatedColumnFormula>
    </tableColumn>
    <tableColumn id="17" xr3:uid="{00000000-0010-0000-0000-000011000000}" name="fecha cierre" dataDxfId="1">
      <calculatedColumnFormula>MID(O3,7,2)&amp;"/"&amp;MID(O3,5,2)&amp;"/"&amp;LEFT(O3,4)</calculatedColumnFormula>
    </tableColumn>
    <tableColumn id="13" xr3:uid="{00000000-0010-0000-0000-00000D000000}" name="Otros aspectos"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oe.es/boe/dias/2024/01/18/pdfs/BOE-A-2024-969.pdf" TargetMode="External"/><Relationship Id="rId13" Type="http://schemas.openxmlformats.org/officeDocument/2006/relationships/table" Target="../tables/table1.xml"/><Relationship Id="rId3" Type="http://schemas.openxmlformats.org/officeDocument/2006/relationships/hyperlink" Target="https://www.diputacionavila.esbops20233108202331082023208223.pdf/" TargetMode="External"/><Relationship Id="rId7" Type="http://schemas.openxmlformats.org/officeDocument/2006/relationships/hyperlink" Target="https://www.tramitacastillayleon.jcyl.es/web/jcyl/AdministracionElectronica/es/Plantilla100Detalle/1251181050732/Ayuda012/1285344956012/Propuesta" TargetMode="External"/><Relationship Id="rId12" Type="http://schemas.openxmlformats.org/officeDocument/2006/relationships/drawing" Target="../drawings/drawing1.xml"/><Relationship Id="rId2" Type="http://schemas.openxmlformats.org/officeDocument/2006/relationships/hyperlink" Target="https://www.tramitacastillayleon.jcyl.es/web/jcyl/AdministracionElectronica/es/Plantilla100Detalle/1251181050732/Ayuda012/1284838943524/Propuesta" TargetMode="External"/><Relationship Id="rId1" Type="http://schemas.openxmlformats.org/officeDocument/2006/relationships/hyperlink" Target="https://www.tramitacastillayleon.jcyl.es/web/jcyl/AdministracionElectronica/es/Plantilla100Detalle/1251181050732/Ayuda012/1284856756788/Propuesta" TargetMode="External"/><Relationship Id="rId6" Type="http://schemas.openxmlformats.org/officeDocument/2006/relationships/hyperlink" Target="https://www.tramitacastillayleon.jcyl.es/web/jcyl/AdministracionElectronica/es/Plantilla100Detalle/1251181050732/enlaces/1285346840446/Propuesta" TargetMode="External"/><Relationship Id="rId11" Type="http://schemas.openxmlformats.org/officeDocument/2006/relationships/printerSettings" Target="../printerSettings/printerSettings1.bin"/><Relationship Id="rId5" Type="http://schemas.openxmlformats.org/officeDocument/2006/relationships/hyperlink" Target="https://www.tramitacastillayleon.jcyl.es/web/jcyl/AdministracionElectronica/es/Plantilla100Detalle/1251181050732/enlaces/1285335985650/Propuesta" TargetMode="External"/><Relationship Id="rId10" Type="http://schemas.openxmlformats.org/officeDocument/2006/relationships/hyperlink" Target="https://6g-sandbox.eu/opencall/" TargetMode="External"/><Relationship Id="rId4" Type="http://schemas.openxmlformats.org/officeDocument/2006/relationships/hyperlink" Target="https://www.tramitacastillayleon.jcyl.es/web/jcyl/AdministracionElectronica/es/Plantilla100Detalle/1251181050732/enlaces/1285330102573/Propuesta" TargetMode="External"/><Relationship Id="rId9" Type="http://schemas.openxmlformats.org/officeDocument/2006/relationships/hyperlink" Target="https://sede.red.gob.es/es/procedimientos/convocatoria-de-las-ayudas-destinadas-la-digitalizacion-de-las-comunidades-de-bie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0"/>
  <sheetViews>
    <sheetView tabSelected="1" showRuler="0" zoomScaleNormal="100" workbookViewId="0">
      <pane ySplit="2" topLeftCell="A105" activePane="bottomLeft" state="frozen"/>
      <selection pane="bottomLeft" activeCell="D117" sqref="D114:D117"/>
    </sheetView>
  </sheetViews>
  <sheetFormatPr baseColWidth="10" defaultColWidth="9.140625" defaultRowHeight="15" x14ac:dyDescent="0.25"/>
  <cols>
    <col min="1" max="1" width="7.42578125" style="1" customWidth="1"/>
    <col min="2" max="2" width="79" style="2" customWidth="1"/>
    <col min="3" max="3" width="10.85546875" style="2" customWidth="1"/>
    <col min="4" max="4" width="49.85546875" style="2" customWidth="1"/>
    <col min="5" max="5" width="15.140625" style="2" customWidth="1"/>
    <col min="6" max="6" width="33.42578125" style="2" customWidth="1"/>
    <col min="7" max="7" width="79" style="2" customWidth="1"/>
    <col min="8" max="8" width="56.85546875" style="2" customWidth="1"/>
    <col min="9" max="9" width="52.7109375" style="2" customWidth="1"/>
    <col min="10" max="10" width="42" style="2" customWidth="1"/>
    <col min="11" max="11" width="13.5703125" customWidth="1"/>
    <col min="12" max="12" width="18.140625" style="2" customWidth="1"/>
    <col min="13" max="13" width="48.85546875" style="4" customWidth="1"/>
    <col min="14" max="14" width="43.85546875" style="2" hidden="1" customWidth="1"/>
    <col min="15" max="15" width="18.28515625" style="2" hidden="1" customWidth="1"/>
    <col min="16" max="16" width="17.28515625" style="2" customWidth="1"/>
    <col min="17" max="16384" width="9.140625" style="2"/>
  </cols>
  <sheetData>
    <row r="1" spans="1:15" ht="58.5" customHeight="1" x14ac:dyDescent="0.25">
      <c r="A1" s="12" t="s">
        <v>658</v>
      </c>
      <c r="B1" s="12"/>
      <c r="C1" s="12"/>
      <c r="D1" s="12"/>
      <c r="E1" s="12"/>
      <c r="F1" s="12"/>
      <c r="G1" s="12"/>
      <c r="H1" s="9"/>
      <c r="I1" s="9"/>
      <c r="J1" s="9"/>
      <c r="K1" s="9"/>
      <c r="L1" s="9"/>
      <c r="M1" s="9"/>
    </row>
    <row r="2" spans="1:15" ht="37.5" x14ac:dyDescent="0.25">
      <c r="A2" s="7" t="s">
        <v>0</v>
      </c>
      <c r="B2" s="5" t="s">
        <v>640</v>
      </c>
      <c r="C2" s="5" t="s">
        <v>648</v>
      </c>
      <c r="D2" s="5" t="s">
        <v>641</v>
      </c>
      <c r="E2" s="5" t="s">
        <v>642</v>
      </c>
      <c r="F2" s="5" t="s">
        <v>643</v>
      </c>
      <c r="G2" s="5" t="s">
        <v>644</v>
      </c>
      <c r="H2" s="5" t="s">
        <v>645</v>
      </c>
      <c r="I2" s="5" t="s">
        <v>646</v>
      </c>
      <c r="J2" s="5" t="s">
        <v>647</v>
      </c>
      <c r="K2" s="5" t="s">
        <v>653</v>
      </c>
      <c r="L2" s="6" t="s">
        <v>652</v>
      </c>
      <c r="M2" s="5" t="s">
        <v>651</v>
      </c>
      <c r="N2" s="2" t="s">
        <v>649</v>
      </c>
      <c r="O2" s="2" t="s">
        <v>650</v>
      </c>
    </row>
    <row r="3" spans="1:15" ht="90" x14ac:dyDescent="0.25">
      <c r="A3" s="1">
        <v>1</v>
      </c>
      <c r="B3" s="2" t="s">
        <v>1</v>
      </c>
      <c r="C3" s="2" t="s">
        <v>8</v>
      </c>
      <c r="D3" s="8" t="str">
        <f>HYPERLINK("https://www.tramitacastillayleon.jcyl.es/web/jcyl/AdministracionElectronica/es/Plantilla100Detalle/1251181050732/Ayuda012/1285330126306/Propuesta")</f>
        <v>https://www.tramitacastillayleon.jcyl.es/web/jcyl/AdministracionElectronica/es/Plantilla100Detalle/1251181050732/Ayuda012/1285330126306/Propuesta</v>
      </c>
      <c r="E3" s="2" t="s">
        <v>2</v>
      </c>
      <c r="F3" s="2" t="s">
        <v>3</v>
      </c>
      <c r="G3" s="2" t="s">
        <v>4</v>
      </c>
      <c r="H3" s="2" t="s">
        <v>5</v>
      </c>
      <c r="I3" s="2" t="s">
        <v>6</v>
      </c>
      <c r="J3" s="2" t="s">
        <v>7</v>
      </c>
      <c r="K3" s="4" t="str">
        <f t="shared" ref="K3:K34" si="0">MID(N3,7,2)&amp;"/"&amp;MID(N3,5,2)&amp;"/"&amp;LEFT(N3,4)</f>
        <v>06/11/2023</v>
      </c>
      <c r="L3" s="4" t="str">
        <f t="shared" ref="L3:L34" si="1">MID(O3,7,2)&amp;"/"&amp;MID(O3,5,2)&amp;"/"&amp;LEFT(O3,4)</f>
        <v>//</v>
      </c>
      <c r="M3" s="2" t="s">
        <v>657</v>
      </c>
      <c r="N3" s="3" t="s">
        <v>656</v>
      </c>
    </row>
    <row r="4" spans="1:15" ht="45" x14ac:dyDescent="0.25">
      <c r="A4" s="1">
        <v>2</v>
      </c>
      <c r="B4" s="2" t="s">
        <v>10</v>
      </c>
      <c r="C4" s="2" t="s">
        <v>15</v>
      </c>
      <c r="D4" s="8" t="s">
        <v>655</v>
      </c>
      <c r="E4" s="2" t="s">
        <v>2</v>
      </c>
      <c r="F4" s="2" t="s">
        <v>3</v>
      </c>
      <c r="G4" s="2" t="s">
        <v>11</v>
      </c>
      <c r="H4" s="2" t="s">
        <v>12</v>
      </c>
      <c r="I4" s="2" t="s">
        <v>13</v>
      </c>
      <c r="J4" s="2" t="s">
        <v>14</v>
      </c>
      <c r="K4" s="4" t="str">
        <f t="shared" si="0"/>
        <v>14/12/2018</v>
      </c>
      <c r="L4" s="4" t="str">
        <f t="shared" si="1"/>
        <v>01/02/2023</v>
      </c>
      <c r="M4" s="2"/>
      <c r="N4" s="3" t="s">
        <v>16</v>
      </c>
      <c r="O4" s="2" t="s">
        <v>17</v>
      </c>
    </row>
    <row r="5" spans="1:15" ht="45" x14ac:dyDescent="0.25">
      <c r="A5" s="1">
        <v>3</v>
      </c>
      <c r="B5" s="2" t="s">
        <v>19</v>
      </c>
      <c r="C5" s="2" t="s">
        <v>15</v>
      </c>
      <c r="D5" s="8" t="str">
        <f>HYPERLINK("https://www.boe.es/diario_boe/txt.php?id=BOE-A-2022-331")</f>
        <v>https://www.boe.es/diario_boe/txt.php?id=BOE-A-2022-331</v>
      </c>
      <c r="E5" s="2" t="s">
        <v>20</v>
      </c>
      <c r="F5" s="2" t="s">
        <v>21</v>
      </c>
      <c r="G5" s="2" t="s">
        <v>22</v>
      </c>
      <c r="H5" s="2" t="s">
        <v>23</v>
      </c>
      <c r="I5" s="2" t="s">
        <v>24</v>
      </c>
      <c r="J5" s="2" t="s">
        <v>25</v>
      </c>
      <c r="K5" s="4" t="str">
        <f t="shared" si="0"/>
        <v>08/01/2022</v>
      </c>
      <c r="L5" s="4" t="str">
        <f t="shared" si="1"/>
        <v>31/12/2022</v>
      </c>
      <c r="M5" s="2"/>
      <c r="N5" s="3" t="s">
        <v>26</v>
      </c>
      <c r="O5" s="2" t="s">
        <v>27</v>
      </c>
    </row>
    <row r="6" spans="1:15" ht="45" x14ac:dyDescent="0.25">
      <c r="A6" s="1">
        <v>4</v>
      </c>
      <c r="B6" s="2" t="s">
        <v>28</v>
      </c>
      <c r="C6" s="2" t="s">
        <v>8</v>
      </c>
      <c r="D6" s="8" t="str">
        <f>HYPERLINK("https://www.tramitacastillayleon.jcyl.es/web/jcyl/AdministracionElectronica/es/Plantilla100Detalle/1251181050732/Ayuda012/1285216468479/Propuesta")</f>
        <v>https://www.tramitacastillayleon.jcyl.es/web/jcyl/AdministracionElectronica/es/Plantilla100Detalle/1251181050732/Ayuda012/1285216468479/Propuesta</v>
      </c>
      <c r="E6" s="2" t="s">
        <v>2</v>
      </c>
      <c r="F6" s="2" t="s">
        <v>3</v>
      </c>
      <c r="G6" s="2" t="s">
        <v>29</v>
      </c>
      <c r="H6" s="2" t="s">
        <v>30</v>
      </c>
      <c r="I6" s="2" t="s">
        <v>31</v>
      </c>
      <c r="J6" s="2" t="s">
        <v>32</v>
      </c>
      <c r="K6" s="4" t="str">
        <f t="shared" si="0"/>
        <v>03/11/2022</v>
      </c>
      <c r="L6" s="4" t="str">
        <f t="shared" si="1"/>
        <v>30/11/2024</v>
      </c>
      <c r="M6" s="2"/>
      <c r="N6" s="3" t="s">
        <v>33</v>
      </c>
      <c r="O6" s="2" t="s">
        <v>9</v>
      </c>
    </row>
    <row r="7" spans="1:15" ht="45" x14ac:dyDescent="0.25">
      <c r="A7" s="1">
        <v>5</v>
      </c>
      <c r="B7" s="2" t="s">
        <v>34</v>
      </c>
      <c r="C7" s="2" t="s">
        <v>15</v>
      </c>
      <c r="D7" s="8" t="str">
        <f>HYPERLINK("https://sede.eoi.es/oficina-eoi/tramites/acceso.do?id=8242&amp;block=subvenciones_1094&amp;blockType=AREAS_SEDE&amp;entity=1094")</f>
        <v>https://sede.eoi.es/oficina-eoi/tramites/acceso.do?id=8242&amp;block=subvenciones_1094&amp;blockType=AREAS_SEDE&amp;entity=1094</v>
      </c>
      <c r="E7" s="2" t="s">
        <v>20</v>
      </c>
      <c r="F7" s="2" t="s">
        <v>35</v>
      </c>
      <c r="G7" s="2" t="s">
        <v>36</v>
      </c>
      <c r="H7" s="2" t="s">
        <v>37</v>
      </c>
      <c r="I7" s="2" t="s">
        <v>38</v>
      </c>
      <c r="J7" s="2" t="s">
        <v>32</v>
      </c>
      <c r="K7" s="4" t="str">
        <f t="shared" si="0"/>
        <v>15/11/2022</v>
      </c>
      <c r="L7" s="4" t="str">
        <f t="shared" si="1"/>
        <v>14/12/2022</v>
      </c>
      <c r="M7" s="2"/>
      <c r="N7" s="3" t="s">
        <v>39</v>
      </c>
      <c r="O7" s="2" t="s">
        <v>40</v>
      </c>
    </row>
    <row r="8" spans="1:15" ht="60" x14ac:dyDescent="0.25">
      <c r="A8" s="1">
        <v>6</v>
      </c>
      <c r="B8" s="2" t="s">
        <v>41</v>
      </c>
      <c r="C8" s="2" t="s">
        <v>15</v>
      </c>
      <c r="D8" s="8" t="str">
        <f>HYPERLINK("https://sede.eoi.es/oficina-eoi/tramites/acceso.do?id=8240&amp;block=subvenciones_1094&amp;blockType=AREAS_SEDE&amp;entity=1094")</f>
        <v>https://sede.eoi.es/oficina-eoi/tramites/acceso.do?id=8240&amp;block=subvenciones_1094&amp;blockType=AREAS_SEDE&amp;entity=1094</v>
      </c>
      <c r="E8" s="2" t="s">
        <v>20</v>
      </c>
      <c r="F8" s="2" t="s">
        <v>35</v>
      </c>
      <c r="G8" s="2" t="s">
        <v>42</v>
      </c>
      <c r="H8" s="2" t="s">
        <v>37</v>
      </c>
      <c r="I8" s="2" t="s">
        <v>43</v>
      </c>
      <c r="J8" s="2" t="s">
        <v>32</v>
      </c>
      <c r="K8" s="4" t="str">
        <f t="shared" si="0"/>
        <v>15/11/2022</v>
      </c>
      <c r="L8" s="4" t="str">
        <f t="shared" si="1"/>
        <v>14/12/2022</v>
      </c>
      <c r="M8" s="2"/>
      <c r="N8" s="3" t="s">
        <v>39</v>
      </c>
      <c r="O8" s="2" t="s">
        <v>40</v>
      </c>
    </row>
    <row r="9" spans="1:15" ht="45" x14ac:dyDescent="0.25">
      <c r="A9" s="1">
        <v>7</v>
      </c>
      <c r="B9" s="2" t="s">
        <v>44</v>
      </c>
      <c r="C9" s="2" t="s">
        <v>15</v>
      </c>
      <c r="D9" s="8" t="str">
        <f>HYPERLINK("https://commission.europa.eu/funding-tenders/find-funding/eu-funding-programmes/digital-europe-programme_en?prefLang=es")</f>
        <v>https://commission.europa.eu/funding-tenders/find-funding/eu-funding-programmes/digital-europe-programme_en?prefLang=es</v>
      </c>
      <c r="E9" s="2" t="s">
        <v>45</v>
      </c>
      <c r="F9" s="2" t="s">
        <v>46</v>
      </c>
      <c r="G9" s="2" t="s">
        <v>47</v>
      </c>
      <c r="H9" s="2" t="s">
        <v>48</v>
      </c>
      <c r="I9" s="2" t="s">
        <v>49</v>
      </c>
      <c r="J9" s="2" t="s">
        <v>32</v>
      </c>
      <c r="K9" s="4" t="str">
        <f t="shared" si="0"/>
        <v>29/09/2022</v>
      </c>
      <c r="L9" s="4" t="str">
        <f t="shared" si="1"/>
        <v>24/01/2023</v>
      </c>
      <c r="M9" s="2" t="s">
        <v>52</v>
      </c>
      <c r="N9" s="3" t="s">
        <v>50</v>
      </c>
      <c r="O9" s="2" t="s">
        <v>51</v>
      </c>
    </row>
    <row r="10" spans="1:15" ht="75" x14ac:dyDescent="0.25">
      <c r="A10" s="1">
        <v>8</v>
      </c>
      <c r="B10" s="2" t="s">
        <v>53</v>
      </c>
      <c r="C10" s="2" t="s">
        <v>15</v>
      </c>
      <c r="D10" s="8" t="str">
        <f>HYPERLINK("https://www.aei.gob.es/convocatorias/buscador-convocatorias/proyectos-colaboracion-publico-privada-2022")</f>
        <v>https://www.aei.gob.es/convocatorias/buscador-convocatorias/proyectos-colaboracion-publico-privada-2022</v>
      </c>
      <c r="E10" s="2" t="s">
        <v>20</v>
      </c>
      <c r="F10" s="2" t="s">
        <v>54</v>
      </c>
      <c r="G10" s="2" t="s">
        <v>55</v>
      </c>
      <c r="H10" s="2" t="s">
        <v>56</v>
      </c>
      <c r="I10" s="2" t="s">
        <v>57</v>
      </c>
      <c r="J10" s="2" t="s">
        <v>58</v>
      </c>
      <c r="K10" s="4" t="str">
        <f t="shared" si="0"/>
        <v>13/02/2023</v>
      </c>
      <c r="L10" s="4" t="str">
        <f t="shared" si="1"/>
        <v>07/03/2023</v>
      </c>
      <c r="M10" s="2" t="s">
        <v>61</v>
      </c>
      <c r="N10" s="3" t="s">
        <v>59</v>
      </c>
      <c r="O10" s="2" t="s">
        <v>60</v>
      </c>
    </row>
    <row r="11" spans="1:15" ht="75" x14ac:dyDescent="0.25">
      <c r="A11" s="1">
        <v>9</v>
      </c>
      <c r="B11" s="2" t="s">
        <v>62</v>
      </c>
      <c r="C11" s="2" t="s">
        <v>15</v>
      </c>
      <c r="D11" s="8" t="str">
        <f>HYPERLINK("https://www.aei.gob.es/convocatorias/buscador-convocatorias/proyectos-colaboracion-publico-privada-2022")</f>
        <v>https://www.aei.gob.es/convocatorias/buscador-convocatorias/proyectos-colaboracion-publico-privada-2022</v>
      </c>
      <c r="E11" s="2" t="s">
        <v>20</v>
      </c>
      <c r="F11" s="2" t="s">
        <v>54</v>
      </c>
      <c r="G11" s="2" t="s">
        <v>63</v>
      </c>
      <c r="H11" s="2" t="s">
        <v>64</v>
      </c>
      <c r="I11" s="2" t="s">
        <v>65</v>
      </c>
      <c r="J11" s="2" t="s">
        <v>66</v>
      </c>
      <c r="K11" s="4" t="str">
        <f t="shared" si="0"/>
        <v>10/01/2023</v>
      </c>
      <c r="L11" s="4" t="str">
        <f t="shared" si="1"/>
        <v>31/01/2023</v>
      </c>
      <c r="M11" s="2" t="s">
        <v>61</v>
      </c>
      <c r="N11" s="3" t="s">
        <v>67</v>
      </c>
      <c r="O11" s="2" t="s">
        <v>68</v>
      </c>
    </row>
    <row r="12" spans="1:15" ht="45" x14ac:dyDescent="0.25">
      <c r="A12" s="1">
        <v>10</v>
      </c>
      <c r="B12" s="2" t="s">
        <v>69</v>
      </c>
      <c r="C12" s="2" t="s">
        <v>15</v>
      </c>
      <c r="D12" s="8" t="str">
        <f>HYPERLINK("https://www.boe.es/boe/dias/2022/12/30/pdfs/BOE-A-2022-24414.pdf")</f>
        <v>https://www.boe.es/boe/dias/2022/12/30/pdfs/BOE-A-2022-24414.pdf</v>
      </c>
      <c r="E12" s="2" t="s">
        <v>20</v>
      </c>
      <c r="F12" s="2" t="s">
        <v>70</v>
      </c>
      <c r="G12" s="2" t="s">
        <v>71</v>
      </c>
      <c r="H12" s="2" t="s">
        <v>72</v>
      </c>
      <c r="I12" s="2" t="s">
        <v>73</v>
      </c>
      <c r="J12" s="2" t="s">
        <v>74</v>
      </c>
      <c r="K12" s="4" t="str">
        <f t="shared" si="0"/>
        <v>25/04/2023</v>
      </c>
      <c r="L12" s="4" t="str">
        <f t="shared" si="1"/>
        <v>24/07/2023</v>
      </c>
      <c r="M12" s="2"/>
      <c r="N12" s="3" t="s">
        <v>75</v>
      </c>
      <c r="O12" s="2" t="s">
        <v>76</v>
      </c>
    </row>
    <row r="13" spans="1:15" ht="45" x14ac:dyDescent="0.25">
      <c r="A13" s="1">
        <v>11</v>
      </c>
      <c r="B13" s="2" t="s">
        <v>77</v>
      </c>
      <c r="C13" s="2" t="s">
        <v>15</v>
      </c>
      <c r="D13" s="8" t="str">
        <f>HYPERLINK("https://www.mincotur.gob.es/PortalAyudas/PERTE-AGRO/Paginas/Index.aspx")</f>
        <v>https://www.mincotur.gob.es/PortalAyudas/PERTE-AGRO/Paginas/Index.aspx</v>
      </c>
      <c r="E13" s="2" t="s">
        <v>20</v>
      </c>
      <c r="F13" s="2" t="s">
        <v>35</v>
      </c>
      <c r="G13" s="2" t="s">
        <v>78</v>
      </c>
      <c r="H13" s="2" t="s">
        <v>79</v>
      </c>
      <c r="I13" s="2" t="s">
        <v>80</v>
      </c>
      <c r="J13" s="2" t="s">
        <v>81</v>
      </c>
      <c r="K13" s="4" t="str">
        <f t="shared" si="0"/>
        <v>23/01/2023</v>
      </c>
      <c r="L13" s="4" t="str">
        <f t="shared" si="1"/>
        <v>28/02/2023</v>
      </c>
      <c r="M13" s="2"/>
      <c r="N13" s="3" t="s">
        <v>82</v>
      </c>
      <c r="O13" s="2" t="s">
        <v>83</v>
      </c>
    </row>
    <row r="14" spans="1:15" ht="75" x14ac:dyDescent="0.25">
      <c r="A14" s="1">
        <v>12</v>
      </c>
      <c r="B14" s="2" t="s">
        <v>84</v>
      </c>
      <c r="C14" s="2" t="s">
        <v>15</v>
      </c>
      <c r="D14" s="8" t="str">
        <f>HYPERLINK("https://www.pap.hacienda.gob.es/bdnstrans/GE/es/convocatorias/667277")</f>
        <v>https://www.pap.hacienda.gob.es/bdnstrans/GE/es/convocatorias/667277</v>
      </c>
      <c r="E14" s="2" t="s">
        <v>20</v>
      </c>
      <c r="F14" s="2" t="s">
        <v>70</v>
      </c>
      <c r="G14" s="2" t="s">
        <v>85</v>
      </c>
      <c r="H14" s="2" t="s">
        <v>86</v>
      </c>
      <c r="I14" s="2" t="s">
        <v>87</v>
      </c>
      <c r="J14" s="2" t="s">
        <v>74</v>
      </c>
      <c r="K14" s="4" t="str">
        <f t="shared" si="0"/>
        <v>21/03/2023</v>
      </c>
      <c r="L14" s="4" t="str">
        <f t="shared" si="1"/>
        <v>13/04/2023</v>
      </c>
      <c r="M14" s="2"/>
      <c r="N14" s="3" t="s">
        <v>88</v>
      </c>
      <c r="O14" s="2" t="s">
        <v>89</v>
      </c>
    </row>
    <row r="15" spans="1:15" ht="90" x14ac:dyDescent="0.25">
      <c r="A15" s="1">
        <v>13</v>
      </c>
      <c r="B15" s="2" t="s">
        <v>90</v>
      </c>
      <c r="C15" s="2" t="s">
        <v>8</v>
      </c>
      <c r="D15" s="8" t="str">
        <f>HYPERLINK("https://www.pap.hacienda.gob.es/bdnstrans/GE/es/convocatorias/666990")</f>
        <v>https://www.pap.hacienda.gob.es/bdnstrans/GE/es/convocatorias/666990</v>
      </c>
      <c r="E15" s="2" t="s">
        <v>20</v>
      </c>
      <c r="F15" s="2" t="s">
        <v>35</v>
      </c>
      <c r="G15" s="2" t="s">
        <v>91</v>
      </c>
      <c r="H15" s="2" t="s">
        <v>92</v>
      </c>
      <c r="I15" s="2" t="s">
        <v>93</v>
      </c>
      <c r="J15" s="2" t="s">
        <v>94</v>
      </c>
      <c r="K15" s="4" t="str">
        <f t="shared" si="0"/>
        <v>30/01/2023</v>
      </c>
      <c r="L15" s="4" t="str">
        <f t="shared" si="1"/>
        <v>30/09/2025</v>
      </c>
      <c r="M15" s="2"/>
      <c r="N15" s="3" t="s">
        <v>95</v>
      </c>
      <c r="O15" s="2" t="s">
        <v>96</v>
      </c>
    </row>
    <row r="16" spans="1:15" ht="75" x14ac:dyDescent="0.25">
      <c r="A16" s="1">
        <v>14</v>
      </c>
      <c r="B16" s="2" t="s">
        <v>97</v>
      </c>
      <c r="C16" s="2" t="s">
        <v>15</v>
      </c>
      <c r="D16" s="8" t="str">
        <f>HYPERLINK("https://www.tramitacastillayleon.jcyl.es/web/jcyl/AdministracionElectronica/es/Plantilla100Detalle/1251181050732/Ayuda012/1285232017930/Propuesta")</f>
        <v>https://www.tramitacastillayleon.jcyl.es/web/jcyl/AdministracionElectronica/es/Plantilla100Detalle/1251181050732/Ayuda012/1285232017930/Propuesta</v>
      </c>
      <c r="E16" s="2" t="s">
        <v>2</v>
      </c>
      <c r="F16" s="2" t="s">
        <v>98</v>
      </c>
      <c r="G16" s="2" t="s">
        <v>99</v>
      </c>
      <c r="H16" s="2" t="s">
        <v>100</v>
      </c>
      <c r="I16" s="2" t="s">
        <v>101</v>
      </c>
      <c r="J16" s="2" t="s">
        <v>74</v>
      </c>
      <c r="K16" s="4" t="str">
        <f t="shared" si="0"/>
        <v>23/02/2023</v>
      </c>
      <c r="L16" s="4" t="str">
        <f t="shared" si="1"/>
        <v>06/02/2023</v>
      </c>
      <c r="M16" s="2" t="s">
        <v>104</v>
      </c>
      <c r="N16" s="3" t="s">
        <v>102</v>
      </c>
      <c r="O16" s="2" t="s">
        <v>103</v>
      </c>
    </row>
    <row r="17" spans="1:15" ht="45" x14ac:dyDescent="0.25">
      <c r="A17" s="1">
        <v>15</v>
      </c>
      <c r="B17" s="2" t="s">
        <v>105</v>
      </c>
      <c r="C17" s="2" t="s">
        <v>15</v>
      </c>
      <c r="D17" s="8" t="str">
        <f>HYPERLINK("https://www.eurekanetwork.org/countries/spain/eurostars/")</f>
        <v>https://www.eurekanetwork.org/countries/spain/eurostars/</v>
      </c>
      <c r="E17" s="2" t="s">
        <v>45</v>
      </c>
      <c r="F17" s="2" t="s">
        <v>106</v>
      </c>
      <c r="G17" s="2" t="s">
        <v>107</v>
      </c>
      <c r="H17" s="2" t="s">
        <v>108</v>
      </c>
      <c r="I17" s="2" t="s">
        <v>109</v>
      </c>
      <c r="J17" s="2" t="s">
        <v>110</v>
      </c>
      <c r="K17" s="4" t="str">
        <f t="shared" si="0"/>
        <v>07/02/2023</v>
      </c>
      <c r="L17" s="4" t="str">
        <f t="shared" si="1"/>
        <v>13/04/2023</v>
      </c>
      <c r="M17" s="2"/>
      <c r="N17" s="3" t="s">
        <v>111</v>
      </c>
      <c r="O17" s="2" t="s">
        <v>89</v>
      </c>
    </row>
    <row r="18" spans="1:15" ht="45" x14ac:dyDescent="0.25">
      <c r="A18" s="1">
        <v>16</v>
      </c>
      <c r="B18" s="2" t="s">
        <v>112</v>
      </c>
      <c r="C18" s="2" t="s">
        <v>8</v>
      </c>
      <c r="D18" s="8" t="str">
        <f>HYPERLINK("https://www.tramitacastillayleon.jcyl.es/web/jcyl/AdministracionElectronica/es/Plantilla100Detalle/1251181050732/Ayuda012/1284856756788/Propuesta")</f>
        <v>https://www.tramitacastillayleon.jcyl.es/web/jcyl/AdministracionElectronica/es/Plantilla100Detalle/1251181050732/Ayuda012/1284856756788/Propuesta</v>
      </c>
      <c r="E18" s="2" t="s">
        <v>2</v>
      </c>
      <c r="F18" s="2" t="s">
        <v>3</v>
      </c>
      <c r="G18" s="2" t="s">
        <v>113</v>
      </c>
      <c r="H18" s="2" t="s">
        <v>114</v>
      </c>
      <c r="I18" s="2" t="s">
        <v>115</v>
      </c>
      <c r="J18" s="2" t="s">
        <v>116</v>
      </c>
      <c r="K18" s="4" t="str">
        <f t="shared" si="0"/>
        <v>07/02/2023</v>
      </c>
      <c r="L18" s="4" t="str">
        <f t="shared" si="1"/>
        <v>31/12/2025</v>
      </c>
      <c r="M18" s="2" t="s">
        <v>18</v>
      </c>
      <c r="N18" s="3" t="s">
        <v>111</v>
      </c>
      <c r="O18" s="2" t="s">
        <v>117</v>
      </c>
    </row>
    <row r="19" spans="1:15" ht="45" x14ac:dyDescent="0.25">
      <c r="A19" s="1">
        <v>17</v>
      </c>
      <c r="B19" s="2" t="s">
        <v>118</v>
      </c>
      <c r="C19" s="2" t="s">
        <v>15</v>
      </c>
      <c r="D19" s="8" t="str">
        <f>HYPERLINK("https://www.tramitacastillayleon.jcyl.es/web/jcyl/AdministracionElectronica/es/Plantilla100Detalle/1251181050732/enlaces/1285229799948/Propuesta")</f>
        <v>https://www.tramitacastillayleon.jcyl.es/web/jcyl/AdministracionElectronica/es/Plantilla100Detalle/1251181050732/enlaces/1285229799948/Propuesta</v>
      </c>
      <c r="E19" s="2" t="s">
        <v>2</v>
      </c>
      <c r="F19" s="2" t="s">
        <v>119</v>
      </c>
      <c r="G19" s="2" t="s">
        <v>120</v>
      </c>
      <c r="H19" s="2" t="s">
        <v>121</v>
      </c>
      <c r="I19" s="2" t="s">
        <v>122</v>
      </c>
      <c r="J19" s="2" t="s">
        <v>123</v>
      </c>
      <c r="K19" s="4" t="str">
        <f t="shared" si="0"/>
        <v>23/12/2022</v>
      </c>
      <c r="L19" s="4" t="str">
        <f t="shared" si="1"/>
        <v>31/01/2023</v>
      </c>
      <c r="M19" s="2"/>
      <c r="N19" s="3" t="s">
        <v>124</v>
      </c>
      <c r="O19" s="2" t="s">
        <v>68</v>
      </c>
    </row>
    <row r="20" spans="1:15" ht="45" x14ac:dyDescent="0.25">
      <c r="A20" s="1">
        <v>18</v>
      </c>
      <c r="B20" s="2" t="s">
        <v>125</v>
      </c>
      <c r="C20" s="2" t="s">
        <v>15</v>
      </c>
      <c r="D20" s="8" t="str">
        <f>HYPERLINK("https://www.tramitacastillayleon.jcyl.es/web/jcyl/AdministracionElectronica/es/Plantilla100Detalle/1251181050732/enlaces/1285229799948/Propuesta")</f>
        <v>https://www.tramitacastillayleon.jcyl.es/web/jcyl/AdministracionElectronica/es/Plantilla100Detalle/1251181050732/enlaces/1285229799948/Propuesta</v>
      </c>
      <c r="E20" s="2" t="s">
        <v>126</v>
      </c>
      <c r="F20" s="2" t="s">
        <v>127</v>
      </c>
      <c r="G20" s="2" t="s">
        <v>128</v>
      </c>
      <c r="H20" s="2" t="s">
        <v>129</v>
      </c>
      <c r="I20" s="2" t="s">
        <v>130</v>
      </c>
      <c r="J20" s="2" t="s">
        <v>131</v>
      </c>
      <c r="K20" s="4" t="str">
        <f t="shared" si="0"/>
        <v>20/01/2023</v>
      </c>
      <c r="L20" s="4" t="str">
        <f t="shared" si="1"/>
        <v>28/02/2023</v>
      </c>
      <c r="M20" s="2"/>
      <c r="N20" s="3" t="s">
        <v>132</v>
      </c>
      <c r="O20" s="2" t="s">
        <v>83</v>
      </c>
    </row>
    <row r="21" spans="1:15" ht="45" x14ac:dyDescent="0.25">
      <c r="A21" s="1">
        <v>19</v>
      </c>
      <c r="B21" s="2" t="s">
        <v>133</v>
      </c>
      <c r="C21" s="2" t="s">
        <v>15</v>
      </c>
      <c r="D21" s="8" t="str">
        <f>HYPERLINK("https://camaraleon.com/ticcamaras-2023/")</f>
        <v>https://camaraleon.com/ticcamaras-2023/</v>
      </c>
      <c r="E21" s="2" t="s">
        <v>126</v>
      </c>
      <c r="F21" s="2" t="s">
        <v>134</v>
      </c>
      <c r="G21" s="2" t="s">
        <v>135</v>
      </c>
      <c r="H21" s="2" t="s">
        <v>136</v>
      </c>
      <c r="I21" s="2" t="s">
        <v>137</v>
      </c>
      <c r="J21" s="2" t="s">
        <v>138</v>
      </c>
      <c r="K21" s="4" t="str">
        <f t="shared" si="0"/>
        <v>17/01/2023</v>
      </c>
      <c r="L21" s="4" t="str">
        <f t="shared" si="1"/>
        <v>28/04/2023</v>
      </c>
      <c r="M21" s="2"/>
      <c r="N21" s="3" t="s">
        <v>139</v>
      </c>
      <c r="O21" s="2" t="s">
        <v>140</v>
      </c>
    </row>
    <row r="22" spans="1:15" ht="45" x14ac:dyDescent="0.25">
      <c r="A22" s="1">
        <v>20</v>
      </c>
      <c r="B22" s="2" t="s">
        <v>141</v>
      </c>
      <c r="C22" s="2" t="s">
        <v>15</v>
      </c>
      <c r="D22" s="8" t="str">
        <f>HYPERLINK("https://camaraleon.com/industria-4-0-2023/")</f>
        <v>https://camaraleon.com/industria-4-0-2023/</v>
      </c>
      <c r="E22" s="2" t="s">
        <v>126</v>
      </c>
      <c r="F22" s="2" t="s">
        <v>134</v>
      </c>
      <c r="G22" s="2" t="s">
        <v>142</v>
      </c>
      <c r="H22" s="2" t="s">
        <v>143</v>
      </c>
      <c r="I22" s="2" t="s">
        <v>144</v>
      </c>
      <c r="J22" s="2" t="s">
        <v>145</v>
      </c>
      <c r="K22" s="4" t="str">
        <f t="shared" si="0"/>
        <v>24/01/2023</v>
      </c>
      <c r="L22" s="4" t="str">
        <f t="shared" si="1"/>
        <v>28/04/2023</v>
      </c>
      <c r="M22" s="2"/>
      <c r="N22" s="3" t="s">
        <v>51</v>
      </c>
      <c r="O22" s="2" t="s">
        <v>140</v>
      </c>
    </row>
    <row r="23" spans="1:15" ht="45" x14ac:dyDescent="0.25">
      <c r="A23" s="1">
        <v>21</v>
      </c>
      <c r="B23" s="2" t="s">
        <v>146</v>
      </c>
      <c r="C23" s="2" t="s">
        <v>15</v>
      </c>
      <c r="D23" s="8" t="str">
        <f>HYPERLINK("https://www.camaraburgos.com/doc/act/2023.%20Modelo%20Convocatoria%20Xpande%20Digital%20-%20ORDINARIA_BURGOS_Definitiva.pdf")</f>
        <v>https://www.camaraburgos.com/doc/act/2023.%20Modelo%20Convocatoria%20Xpande%20Digital%20-%20ORDINARIA_BURGOS_Definitiva.pdf</v>
      </c>
      <c r="E23" s="2" t="s">
        <v>126</v>
      </c>
      <c r="F23" s="2" t="s">
        <v>147</v>
      </c>
      <c r="G23" s="2" t="s">
        <v>148</v>
      </c>
      <c r="H23" s="2" t="s">
        <v>149</v>
      </c>
      <c r="I23" s="2" t="s">
        <v>150</v>
      </c>
      <c r="J23" s="2" t="s">
        <v>151</v>
      </c>
      <c r="K23" s="4" t="str">
        <f t="shared" si="0"/>
        <v>22/02/2023</v>
      </c>
      <c r="L23" s="4" t="str">
        <f t="shared" si="1"/>
        <v>10/03/2023</v>
      </c>
      <c r="M23" s="2"/>
      <c r="N23" s="3" t="s">
        <v>152</v>
      </c>
      <c r="O23" s="2" t="s">
        <v>153</v>
      </c>
    </row>
    <row r="24" spans="1:15" ht="60" x14ac:dyDescent="0.25">
      <c r="A24" s="1">
        <v>22</v>
      </c>
      <c r="B24" s="2" t="s">
        <v>154</v>
      </c>
      <c r="C24" s="2" t="s">
        <v>15</v>
      </c>
      <c r="D24" s="8" t="str">
        <f>HYPERLINK("https://sede.camara.es/sede/leon/tramites/TR0000004645")</f>
        <v>https://sede.camara.es/sede/leon/tramites/TR0000004645</v>
      </c>
      <c r="E24" s="2" t="s">
        <v>126</v>
      </c>
      <c r="F24" s="2" t="s">
        <v>134</v>
      </c>
      <c r="G24" s="2" t="s">
        <v>155</v>
      </c>
      <c r="H24" s="2" t="s">
        <v>143</v>
      </c>
      <c r="I24" s="2" t="s">
        <v>156</v>
      </c>
      <c r="J24" s="2" t="s">
        <v>151</v>
      </c>
      <c r="K24" s="4" t="str">
        <f t="shared" si="0"/>
        <v>17/01/2023</v>
      </c>
      <c r="L24" s="4" t="str">
        <f t="shared" si="1"/>
        <v>28/02/2023</v>
      </c>
      <c r="M24" s="2"/>
      <c r="N24" s="3" t="s">
        <v>139</v>
      </c>
      <c r="O24" s="2" t="s">
        <v>83</v>
      </c>
    </row>
    <row r="25" spans="1:15" ht="60" x14ac:dyDescent="0.25">
      <c r="A25" s="1">
        <v>23</v>
      </c>
      <c r="B25" s="2" t="s">
        <v>157</v>
      </c>
      <c r="C25" s="2" t="s">
        <v>15</v>
      </c>
      <c r="D25" s="8" t="str">
        <f>HYPERLINK("https://sede.camara.es/sede/valladolid/tramites/TR0000001492")</f>
        <v>https://sede.camara.es/sede/valladolid/tramites/TR0000001492</v>
      </c>
      <c r="E25" s="2" t="s">
        <v>126</v>
      </c>
      <c r="F25" s="2" t="s">
        <v>127</v>
      </c>
      <c r="G25" s="2" t="s">
        <v>158</v>
      </c>
      <c r="H25" s="2" t="s">
        <v>159</v>
      </c>
      <c r="I25" s="2" t="s">
        <v>156</v>
      </c>
      <c r="J25" s="2" t="s">
        <v>160</v>
      </c>
      <c r="K25" s="4" t="str">
        <f t="shared" si="0"/>
        <v>27/01/2023</v>
      </c>
      <c r="L25" s="4" t="str">
        <f t="shared" si="1"/>
        <v>15/03/2023</v>
      </c>
      <c r="M25" s="2"/>
      <c r="N25" s="3" t="s">
        <v>161</v>
      </c>
      <c r="O25" s="2" t="s">
        <v>162</v>
      </c>
    </row>
    <row r="26" spans="1:15" ht="60" x14ac:dyDescent="0.25">
      <c r="A26" s="1">
        <v>24</v>
      </c>
      <c r="B26" s="2" t="s">
        <v>163</v>
      </c>
      <c r="C26" s="2" t="s">
        <v>15</v>
      </c>
      <c r="D26" s="8" t="str">
        <f>HYPERLINK("https://camaraleon.com/ciberseguridad-2023/")</f>
        <v>https://camaraleon.com/ciberseguridad-2023/</v>
      </c>
      <c r="E26" s="2" t="s">
        <v>126</v>
      </c>
      <c r="F26" s="2" t="s">
        <v>134</v>
      </c>
      <c r="G26" s="2" t="s">
        <v>164</v>
      </c>
      <c r="H26" s="2" t="s">
        <v>143</v>
      </c>
      <c r="I26" s="2" t="s">
        <v>165</v>
      </c>
      <c r="J26" s="2" t="s">
        <v>160</v>
      </c>
      <c r="K26" s="4" t="str">
        <f t="shared" si="0"/>
        <v>20/01/2023</v>
      </c>
      <c r="L26" s="4" t="str">
        <f t="shared" si="1"/>
        <v>28/04/2023</v>
      </c>
      <c r="M26" s="2"/>
      <c r="N26" s="3" t="s">
        <v>132</v>
      </c>
      <c r="O26" s="2" t="s">
        <v>140</v>
      </c>
    </row>
    <row r="27" spans="1:15" ht="75" x14ac:dyDescent="0.25">
      <c r="A27" s="1">
        <v>25</v>
      </c>
      <c r="B27" s="2" t="s">
        <v>166</v>
      </c>
      <c r="C27" s="2" t="s">
        <v>15</v>
      </c>
      <c r="D27" s="8" t="str">
        <f>HYPERLINK("https://empresas.jcyl.es/web/jcyl/Empresas/es/Plantilla100Detalle/1255644717729/Noticia/1285243895348/Comunicación")</f>
        <v>https://empresas.jcyl.es/web/jcyl/Empresas/es/Plantilla100Detalle/1255644717729/Noticia/1285243895348/Comunicación</v>
      </c>
      <c r="E27" s="2" t="s">
        <v>2</v>
      </c>
      <c r="F27" s="2" t="s">
        <v>167</v>
      </c>
      <c r="G27" s="2" t="s">
        <v>168</v>
      </c>
      <c r="H27" s="2" t="s">
        <v>169</v>
      </c>
      <c r="I27" s="2" t="s">
        <v>170</v>
      </c>
      <c r="J27" s="2" t="s">
        <v>171</v>
      </c>
      <c r="K27" s="4" t="str">
        <f t="shared" si="0"/>
        <v>10/02/2023</v>
      </c>
      <c r="L27" s="4" t="str">
        <f t="shared" si="1"/>
        <v>10/03/2023</v>
      </c>
      <c r="M27" s="2"/>
      <c r="N27" s="3" t="s">
        <v>172</v>
      </c>
      <c r="O27" s="2" t="s">
        <v>153</v>
      </c>
    </row>
    <row r="28" spans="1:15" ht="45" x14ac:dyDescent="0.25">
      <c r="A28" s="1">
        <v>26</v>
      </c>
      <c r="B28" s="2" t="s">
        <v>173</v>
      </c>
      <c r="C28" s="2" t="s">
        <v>15</v>
      </c>
      <c r="D28" s="8" t="str">
        <f>HYPERLINK("https://www.cdti.es/")</f>
        <v>https://www.cdti.es/</v>
      </c>
      <c r="E28" s="2" t="s">
        <v>20</v>
      </c>
      <c r="F28" s="2" t="s">
        <v>174</v>
      </c>
      <c r="G28" s="2" t="s">
        <v>175</v>
      </c>
      <c r="H28" s="2" t="s">
        <v>176</v>
      </c>
      <c r="I28" s="2" t="s">
        <v>177</v>
      </c>
      <c r="J28" s="2" t="s">
        <v>178</v>
      </c>
      <c r="K28" s="4" t="str">
        <f t="shared" si="0"/>
        <v>24/02/2023</v>
      </c>
      <c r="L28" s="4" t="str">
        <f t="shared" si="1"/>
        <v>31/12/2023</v>
      </c>
      <c r="M28" s="2" t="s">
        <v>181</v>
      </c>
      <c r="N28" s="3" t="s">
        <v>179</v>
      </c>
      <c r="O28" s="2" t="s">
        <v>180</v>
      </c>
    </row>
    <row r="29" spans="1:15" ht="75" x14ac:dyDescent="0.25">
      <c r="A29" s="1">
        <v>27</v>
      </c>
      <c r="B29" s="2" t="s">
        <v>182</v>
      </c>
      <c r="C29" s="2" t="s">
        <v>15</v>
      </c>
      <c r="D29" s="8" t="str">
        <f>HYPERLINK("https://www.cdti.es/")</f>
        <v>https://www.cdti.es/</v>
      </c>
      <c r="E29" s="2" t="s">
        <v>20</v>
      </c>
      <c r="F29" s="2" t="s">
        <v>174</v>
      </c>
      <c r="G29" s="2" t="s">
        <v>183</v>
      </c>
      <c r="H29" s="2" t="s">
        <v>184</v>
      </c>
      <c r="I29" s="2" t="s">
        <v>185</v>
      </c>
      <c r="J29" s="2" t="s">
        <v>186</v>
      </c>
      <c r="K29" s="4" t="str">
        <f t="shared" si="0"/>
        <v>24/02/2023</v>
      </c>
      <c r="L29" s="4" t="str">
        <f t="shared" si="1"/>
        <v>31/12/2023</v>
      </c>
      <c r="M29" s="2" t="s">
        <v>187</v>
      </c>
      <c r="N29" s="3" t="s">
        <v>179</v>
      </c>
      <c r="O29" s="2" t="s">
        <v>180</v>
      </c>
    </row>
    <row r="30" spans="1:15" ht="45" x14ac:dyDescent="0.25">
      <c r="A30" s="1">
        <v>28</v>
      </c>
      <c r="B30" s="2" t="s">
        <v>188</v>
      </c>
      <c r="C30" s="2" t="s">
        <v>15</v>
      </c>
      <c r="D30" s="8" t="str">
        <f>HYPERLINK("https://portalayudas.mineco.gob.es/Programa_UNICO_SECTORIAL_2023/Paginas/Index.aspx")</f>
        <v>https://portalayudas.mineco.gob.es/Programa_UNICO_SECTORIAL_2023/Paginas/Index.aspx</v>
      </c>
      <c r="E30" s="2" t="s">
        <v>20</v>
      </c>
      <c r="F30" s="2" t="s">
        <v>70</v>
      </c>
      <c r="G30" s="2" t="s">
        <v>189</v>
      </c>
      <c r="H30" s="2" t="s">
        <v>190</v>
      </c>
      <c r="I30" s="2" t="s">
        <v>191</v>
      </c>
      <c r="J30" s="2" t="s">
        <v>192</v>
      </c>
      <c r="K30" s="4" t="str">
        <f t="shared" si="0"/>
        <v>13/02/2023</v>
      </c>
      <c r="L30" s="4" t="str">
        <f t="shared" si="1"/>
        <v>03/03/2023</v>
      </c>
      <c r="M30" s="2"/>
      <c r="N30" s="3" t="s">
        <v>59</v>
      </c>
      <c r="O30" s="2" t="s">
        <v>193</v>
      </c>
    </row>
    <row r="31" spans="1:15" ht="75" x14ac:dyDescent="0.25">
      <c r="A31" s="1">
        <v>29</v>
      </c>
      <c r="B31" s="2" t="s">
        <v>194</v>
      </c>
      <c r="C31" s="2" t="s">
        <v>15</v>
      </c>
      <c r="D31" s="8" t="str">
        <f>HYPERLINK("https://www.cdti.es/")</f>
        <v>https://www.cdti.es/</v>
      </c>
      <c r="E31" s="2" t="s">
        <v>20</v>
      </c>
      <c r="F31" s="2" t="s">
        <v>174</v>
      </c>
      <c r="G31" s="2" t="s">
        <v>195</v>
      </c>
      <c r="H31" s="2" t="s">
        <v>196</v>
      </c>
      <c r="I31" s="2" t="s">
        <v>197</v>
      </c>
      <c r="J31" s="2" t="s">
        <v>198</v>
      </c>
      <c r="K31" s="4" t="str">
        <f t="shared" si="0"/>
        <v>28/02/2023</v>
      </c>
      <c r="L31" s="4" t="str">
        <f t="shared" si="1"/>
        <v>20/04/2023</v>
      </c>
      <c r="M31" s="2" t="s">
        <v>200</v>
      </c>
      <c r="N31" s="3" t="s">
        <v>83</v>
      </c>
      <c r="O31" s="2" t="s">
        <v>199</v>
      </c>
    </row>
    <row r="32" spans="1:15" ht="90" x14ac:dyDescent="0.25">
      <c r="A32" s="1">
        <v>30</v>
      </c>
      <c r="B32" s="2" t="s">
        <v>201</v>
      </c>
      <c r="C32" s="2" t="s">
        <v>15</v>
      </c>
      <c r="D32" s="8" t="str">
        <f>HYPERLINK("https://www.cdti.es/recursos/doc/Programas/Cooperacion_internacional/Egipto/Septima_Convocatoria_ESITIP/17935_141014102022101817.pdf")</f>
        <v>https://www.cdti.es/recursos/doc/Programas/Cooperacion_internacional/Egipto/Septima_Convocatoria_ESITIP/17935_141014102022101817.pdf</v>
      </c>
      <c r="E32" s="2" t="s">
        <v>202</v>
      </c>
      <c r="F32" s="2" t="s">
        <v>203</v>
      </c>
      <c r="G32" s="2" t="s">
        <v>204</v>
      </c>
      <c r="H32" s="2" t="s">
        <v>205</v>
      </c>
      <c r="I32" s="2" t="s">
        <v>206</v>
      </c>
      <c r="J32" s="2" t="s">
        <v>207</v>
      </c>
      <c r="K32" s="4" t="str">
        <f t="shared" si="0"/>
        <v>07/11/2022</v>
      </c>
      <c r="L32" s="4" t="str">
        <f t="shared" si="1"/>
        <v>20/03/2023</v>
      </c>
      <c r="M32" s="2"/>
      <c r="N32" s="3" t="s">
        <v>208</v>
      </c>
      <c r="O32" s="2" t="s">
        <v>209</v>
      </c>
    </row>
    <row r="33" spans="1:15" ht="45" x14ac:dyDescent="0.25">
      <c r="A33" s="1">
        <v>31</v>
      </c>
      <c r="B33" s="2" t="s">
        <v>210</v>
      </c>
      <c r="C33" s="2" t="s">
        <v>15</v>
      </c>
      <c r="D33" s="8" t="str">
        <f>HYPERLINK("https://securit-project.eu/")</f>
        <v>https://securit-project.eu/</v>
      </c>
      <c r="E33" s="2" t="s">
        <v>45</v>
      </c>
      <c r="F33" s="2" t="s">
        <v>211</v>
      </c>
      <c r="G33" s="2" t="s">
        <v>212</v>
      </c>
      <c r="H33" s="2" t="s">
        <v>213</v>
      </c>
      <c r="I33" s="2" t="s">
        <v>214</v>
      </c>
      <c r="J33" s="2" t="s">
        <v>215</v>
      </c>
      <c r="K33" s="4" t="str">
        <f t="shared" si="0"/>
        <v>10/01/2023</v>
      </c>
      <c r="L33" s="4" t="str">
        <f t="shared" si="1"/>
        <v>14/03/2023</v>
      </c>
      <c r="M33" s="2"/>
      <c r="N33" s="3" t="s">
        <v>67</v>
      </c>
      <c r="O33" s="2" t="s">
        <v>216</v>
      </c>
    </row>
    <row r="34" spans="1:15" ht="60" x14ac:dyDescent="0.25">
      <c r="A34" s="1">
        <v>32</v>
      </c>
      <c r="B34" s="2" t="s">
        <v>217</v>
      </c>
      <c r="C34" s="2" t="s">
        <v>15</v>
      </c>
      <c r="D34" s="8" t="str">
        <f>HYPERLINK("https://cascadefunding.sploro.eu/application/new?program=ventures-thrive-2023")</f>
        <v>https://cascadefunding.sploro.eu/application/new?program=ventures-thrive-2023</v>
      </c>
      <c r="E34" s="2" t="s">
        <v>45</v>
      </c>
      <c r="F34" s="2" t="s">
        <v>218</v>
      </c>
      <c r="G34" s="2" t="s">
        <v>219</v>
      </c>
      <c r="H34" s="2" t="s">
        <v>220</v>
      </c>
      <c r="I34" s="2" t="s">
        <v>221</v>
      </c>
      <c r="J34" s="2" t="s">
        <v>222</v>
      </c>
      <c r="K34" s="4" t="str">
        <f t="shared" si="0"/>
        <v>17/01/2023</v>
      </c>
      <c r="L34" s="4" t="str">
        <f t="shared" si="1"/>
        <v>16/03/2023</v>
      </c>
      <c r="M34" s="2" t="s">
        <v>224</v>
      </c>
      <c r="N34" s="3" t="s">
        <v>139</v>
      </c>
      <c r="O34" s="2" t="s">
        <v>223</v>
      </c>
    </row>
    <row r="35" spans="1:15" ht="75" x14ac:dyDescent="0.25">
      <c r="A35" s="1">
        <v>33</v>
      </c>
      <c r="B35" s="2" t="s">
        <v>225</v>
      </c>
      <c r="C35" s="2" t="s">
        <v>15</v>
      </c>
      <c r="D35" s="8" t="str">
        <f>HYPERLINK("https://x2-0.eu/open-call/")</f>
        <v>https://x2-0.eu/open-call/</v>
      </c>
      <c r="E35" s="2" t="s">
        <v>45</v>
      </c>
      <c r="F35" s="2" t="s">
        <v>226</v>
      </c>
      <c r="G35" s="2" t="s">
        <v>227</v>
      </c>
      <c r="H35" s="2" t="s">
        <v>220</v>
      </c>
      <c r="I35" s="2" t="s">
        <v>228</v>
      </c>
      <c r="J35" s="2" t="s">
        <v>229</v>
      </c>
      <c r="K35" s="4" t="str">
        <f t="shared" ref="K35:K66" si="2">MID(N35,7,2)&amp;"/"&amp;MID(N35,5,2)&amp;"/"&amp;LEFT(N35,4)</f>
        <v>16/01/2023</v>
      </c>
      <c r="L35" s="4" t="str">
        <f t="shared" ref="L35:L66" si="3">MID(O35,7,2)&amp;"/"&amp;MID(O35,5,2)&amp;"/"&amp;LEFT(O35,4)</f>
        <v>16/03/2023</v>
      </c>
      <c r="M35" s="2"/>
      <c r="N35" s="3" t="s">
        <v>230</v>
      </c>
      <c r="O35" s="2" t="s">
        <v>223</v>
      </c>
    </row>
    <row r="36" spans="1:15" ht="45" x14ac:dyDescent="0.25">
      <c r="A36" s="1">
        <v>34</v>
      </c>
      <c r="B36" s="2" t="s">
        <v>231</v>
      </c>
      <c r="C36" s="2" t="s">
        <v>15</v>
      </c>
      <c r="D36" s="8" t="str">
        <f>HYPERLINK("https://shapes2020.eu/open-calls/call-3/")</f>
        <v>https://shapes2020.eu/open-calls/call-3/</v>
      </c>
      <c r="E36" s="2" t="s">
        <v>45</v>
      </c>
      <c r="F36" s="2" t="s">
        <v>232</v>
      </c>
      <c r="G36" s="2" t="s">
        <v>233</v>
      </c>
      <c r="H36" s="2" t="s">
        <v>234</v>
      </c>
      <c r="I36" s="2" t="s">
        <v>235</v>
      </c>
      <c r="J36" s="2" t="s">
        <v>236</v>
      </c>
      <c r="K36" s="4" t="str">
        <f t="shared" si="2"/>
        <v>16/12/2022</v>
      </c>
      <c r="L36" s="4" t="str">
        <f t="shared" si="3"/>
        <v>17/03/2023</v>
      </c>
      <c r="M36" s="2"/>
      <c r="N36" s="3" t="s">
        <v>237</v>
      </c>
      <c r="O36" s="2" t="s">
        <v>238</v>
      </c>
    </row>
    <row r="37" spans="1:15" ht="30" x14ac:dyDescent="0.25">
      <c r="A37" s="1">
        <v>35</v>
      </c>
      <c r="B37" s="2" t="s">
        <v>239</v>
      </c>
      <c r="C37" s="2" t="s">
        <v>15</v>
      </c>
      <c r="D37" s="8" t="str">
        <f>HYPERLINK("https://digitour-project.eu/tourism-smes/#details")</f>
        <v>https://digitour-project.eu/tourism-smes/#details</v>
      </c>
      <c r="E37" s="2" t="s">
        <v>45</v>
      </c>
      <c r="F37" s="2" t="s">
        <v>240</v>
      </c>
      <c r="G37" s="2" t="s">
        <v>241</v>
      </c>
      <c r="H37" s="2" t="s">
        <v>242</v>
      </c>
      <c r="I37" s="2" t="s">
        <v>243</v>
      </c>
      <c r="J37" s="2" t="s">
        <v>244</v>
      </c>
      <c r="K37" s="4" t="str">
        <f t="shared" si="2"/>
        <v>01/10/2022</v>
      </c>
      <c r="L37" s="4" t="str">
        <f t="shared" si="3"/>
        <v>31/03/2023</v>
      </c>
      <c r="M37" s="2"/>
      <c r="N37" s="3" t="s">
        <v>245</v>
      </c>
      <c r="O37" s="2" t="s">
        <v>246</v>
      </c>
    </row>
    <row r="38" spans="1:15" x14ac:dyDescent="0.25">
      <c r="A38" s="1">
        <v>36</v>
      </c>
      <c r="B38" s="2" t="s">
        <v>247</v>
      </c>
      <c r="C38" s="2" t="s">
        <v>15</v>
      </c>
      <c r="D38" s="8" t="str">
        <f>HYPERLINK("https://www.ngi.eu/opencalls/#ngizerocore")</f>
        <v>https://www.ngi.eu/opencalls/#ngizerocore</v>
      </c>
      <c r="E38" s="2" t="s">
        <v>45</v>
      </c>
      <c r="F38" s="2" t="s">
        <v>248</v>
      </c>
      <c r="G38" s="2" t="s">
        <v>249</v>
      </c>
      <c r="H38" s="2" t="s">
        <v>250</v>
      </c>
      <c r="I38" s="2" t="s">
        <v>251</v>
      </c>
      <c r="J38" s="2" t="s">
        <v>252</v>
      </c>
      <c r="K38" s="4" t="str">
        <f t="shared" si="2"/>
        <v>01/02/2023</v>
      </c>
      <c r="L38" s="4" t="str">
        <f t="shared" si="3"/>
        <v>01/04/2023</v>
      </c>
      <c r="M38" s="2"/>
      <c r="N38" s="3" t="s">
        <v>17</v>
      </c>
      <c r="O38" s="2" t="s">
        <v>253</v>
      </c>
    </row>
    <row r="39" spans="1:15" ht="45" x14ac:dyDescent="0.25">
      <c r="A39" s="1">
        <v>37</v>
      </c>
      <c r="B39" s="2" t="s">
        <v>254</v>
      </c>
      <c r="C39" s="2" t="s">
        <v>15</v>
      </c>
      <c r="D39" s="8" t="str">
        <f>HYPERLINK("https://www.change2twin.eu/open-calls/deployment-voucher/")</f>
        <v>https://www.change2twin.eu/open-calls/deployment-voucher/</v>
      </c>
      <c r="E39" s="2" t="s">
        <v>45</v>
      </c>
      <c r="F39" s="2" t="s">
        <v>255</v>
      </c>
      <c r="G39" s="2" t="s">
        <v>256</v>
      </c>
      <c r="H39" s="2" t="s">
        <v>257</v>
      </c>
      <c r="I39" s="2" t="s">
        <v>258</v>
      </c>
      <c r="J39" s="2" t="s">
        <v>259</v>
      </c>
      <c r="K39" s="4" t="str">
        <f t="shared" si="2"/>
        <v>16/01/2023</v>
      </c>
      <c r="L39" s="4" t="str">
        <f t="shared" si="3"/>
        <v>16/04/2023</v>
      </c>
      <c r="M39" s="2" t="s">
        <v>261</v>
      </c>
      <c r="N39" s="3" t="s">
        <v>230</v>
      </c>
      <c r="O39" s="2" t="s">
        <v>260</v>
      </c>
    </row>
    <row r="40" spans="1:15" ht="105" x14ac:dyDescent="0.25">
      <c r="A40" s="1">
        <v>38</v>
      </c>
      <c r="B40" s="2" t="s">
        <v>262</v>
      </c>
      <c r="C40" s="2" t="s">
        <v>8</v>
      </c>
      <c r="D40" s="8" t="str">
        <f>HYPERLINK("https://www.tramitacastillayleon.jcyl.es/web/jcyl/AdministracionElectronica/es/Plantilla100DetalleFeed/1251181050732/Ayuda012/1284834729721/Propuesta")</f>
        <v>https://www.tramitacastillayleon.jcyl.es/web/jcyl/AdministracionElectronica/es/Plantilla100DetalleFeed/1251181050732/Ayuda012/1284834729721/Propuesta</v>
      </c>
      <c r="E40" s="2" t="s">
        <v>2</v>
      </c>
      <c r="F40" s="2" t="s">
        <v>3</v>
      </c>
      <c r="G40" s="2" t="s">
        <v>263</v>
      </c>
      <c r="H40" s="2" t="s">
        <v>5</v>
      </c>
      <c r="I40" s="2" t="s">
        <v>264</v>
      </c>
      <c r="J40" s="2" t="s">
        <v>265</v>
      </c>
      <c r="K40" s="4" t="str">
        <f t="shared" si="2"/>
        <v>20/11/2018</v>
      </c>
      <c r="L40" s="4" t="str">
        <f t="shared" si="3"/>
        <v>25/04/2030</v>
      </c>
      <c r="M40" s="2" t="s">
        <v>268</v>
      </c>
      <c r="N40" s="3" t="s">
        <v>266</v>
      </c>
      <c r="O40" s="2" t="s">
        <v>267</v>
      </c>
    </row>
    <row r="41" spans="1:15" ht="90" x14ac:dyDescent="0.25">
      <c r="A41" s="1">
        <v>39</v>
      </c>
      <c r="B41" s="2" t="s">
        <v>269</v>
      </c>
      <c r="C41" s="2" t="s">
        <v>15</v>
      </c>
      <c r="D41" s="8" t="str">
        <f>HYPERLINK("https://planderecuperacion.gob.es/politicas-y-componentes/componente-13-impulso-a-la-pyme")</f>
        <v>https://planderecuperacion.gob.es/politicas-y-componentes/componente-13-impulso-a-la-pyme</v>
      </c>
      <c r="E41" s="2" t="s">
        <v>20</v>
      </c>
      <c r="F41" s="2" t="s">
        <v>70</v>
      </c>
      <c r="G41" s="2" t="s">
        <v>270</v>
      </c>
      <c r="H41" s="2" t="s">
        <v>271</v>
      </c>
      <c r="I41" s="2" t="s">
        <v>270</v>
      </c>
      <c r="K41" s="4" t="str">
        <f t="shared" si="2"/>
        <v>17/03/2023</v>
      </c>
      <c r="L41" s="4" t="str">
        <f t="shared" si="3"/>
        <v>20/03/2023</v>
      </c>
      <c r="M41" s="2" t="s">
        <v>272</v>
      </c>
      <c r="N41" s="3" t="s">
        <v>238</v>
      </c>
      <c r="O41" s="2" t="s">
        <v>209</v>
      </c>
    </row>
    <row r="42" spans="1:15" ht="75" x14ac:dyDescent="0.25">
      <c r="A42" s="1">
        <v>40</v>
      </c>
      <c r="B42" s="2" t="s">
        <v>273</v>
      </c>
      <c r="C42" s="2" t="s">
        <v>8</v>
      </c>
      <c r="D42" s="8" t="str">
        <f>HYPERLINK("https://planderecuperacion.gob.es/como-acceder-a-los-fondos/pertes/perte-de-economia-social-y-de-los-cuidados")</f>
        <v>https://planderecuperacion.gob.es/como-acceder-a-los-fondos/pertes/perte-de-economia-social-y-de-los-cuidados</v>
      </c>
      <c r="E42" s="2" t="s">
        <v>20</v>
      </c>
      <c r="F42" s="2" t="s">
        <v>274</v>
      </c>
      <c r="G42" s="2" t="s">
        <v>275</v>
      </c>
      <c r="H42" s="2" t="s">
        <v>276</v>
      </c>
      <c r="I42" s="2" t="s">
        <v>275</v>
      </c>
      <c r="K42" s="4" t="str">
        <f t="shared" si="2"/>
        <v>31/05/2022</v>
      </c>
      <c r="L42" s="4" t="str">
        <f t="shared" si="3"/>
        <v>30/03/2030</v>
      </c>
      <c r="M42" s="2"/>
      <c r="N42" s="3" t="s">
        <v>277</v>
      </c>
      <c r="O42" s="2" t="s">
        <v>278</v>
      </c>
    </row>
    <row r="43" spans="1:15" ht="75" x14ac:dyDescent="0.25">
      <c r="A43" s="1">
        <v>41</v>
      </c>
      <c r="B43" s="2" t="s">
        <v>279</v>
      </c>
      <c r="C43" s="2" t="s">
        <v>8</v>
      </c>
      <c r="D43" s="8" t="str">
        <f>HYPERLINK("https://planderecuperacion.gob.es/como-acceder-a-los-fondos/pertes/perte-para-la-industria-naval")</f>
        <v>https://planderecuperacion.gob.es/como-acceder-a-los-fondos/pertes/perte-para-la-industria-naval</v>
      </c>
      <c r="E43" s="2" t="s">
        <v>20</v>
      </c>
      <c r="F43" s="2" t="s">
        <v>274</v>
      </c>
      <c r="G43" s="2" t="s">
        <v>280</v>
      </c>
      <c r="H43" s="2" t="s">
        <v>281</v>
      </c>
      <c r="I43" s="2" t="s">
        <v>280</v>
      </c>
      <c r="K43" s="4" t="str">
        <f t="shared" si="2"/>
        <v>15/03/2022</v>
      </c>
      <c r="L43" s="4" t="str">
        <f t="shared" si="3"/>
        <v>31/03/2027</v>
      </c>
      <c r="M43" s="2"/>
      <c r="N43" s="3" t="s">
        <v>282</v>
      </c>
      <c r="O43" s="2" t="s">
        <v>283</v>
      </c>
    </row>
    <row r="44" spans="1:15" ht="90" x14ac:dyDescent="0.25">
      <c r="A44" s="1">
        <v>42</v>
      </c>
      <c r="B44" s="2" t="s">
        <v>284</v>
      </c>
      <c r="C44" s="2" t="s">
        <v>15</v>
      </c>
      <c r="D44" s="8" t="str">
        <f>HYPERLINK("https://www.chips-ju.europa.eu/calls/kdt-ju-calls-2023")</f>
        <v>https://www.chips-ju.europa.eu/calls/kdt-ju-calls-2023</v>
      </c>
      <c r="E44" s="2" t="s">
        <v>45</v>
      </c>
      <c r="F44" s="2" t="s">
        <v>106</v>
      </c>
      <c r="G44" s="2" t="s">
        <v>285</v>
      </c>
      <c r="H44" s="2" t="s">
        <v>286</v>
      </c>
      <c r="I44" s="2" t="s">
        <v>287</v>
      </c>
      <c r="K44" s="4" t="str">
        <f t="shared" si="2"/>
        <v>17/03/2023</v>
      </c>
      <c r="L44" s="4" t="str">
        <f t="shared" si="3"/>
        <v>03/05/2023</v>
      </c>
      <c r="M44" s="2" t="s">
        <v>289</v>
      </c>
      <c r="N44" s="3" t="s">
        <v>238</v>
      </c>
      <c r="O44" s="2" t="s">
        <v>288</v>
      </c>
    </row>
    <row r="45" spans="1:15" ht="90" x14ac:dyDescent="0.25">
      <c r="A45" s="1">
        <v>43</v>
      </c>
      <c r="B45" s="2" t="s">
        <v>290</v>
      </c>
      <c r="C45" s="2" t="s">
        <v>8</v>
      </c>
      <c r="D45" s="8" t="str">
        <f>HYPERLINK("https://www.tramitacastillayleon.jcyl.es/web/jcyl/AdministracionElectronica/es/Plantilla100DetalleFeed/1251181050732/Ayuda012/1284804790092/Propuesta")</f>
        <v>https://www.tramitacastillayleon.jcyl.es/web/jcyl/AdministracionElectronica/es/Plantilla100DetalleFeed/1251181050732/Ayuda012/1284804790092/Propuesta</v>
      </c>
      <c r="E45" s="2" t="s">
        <v>2</v>
      </c>
      <c r="F45" s="2" t="s">
        <v>3</v>
      </c>
      <c r="G45" s="2" t="s">
        <v>291</v>
      </c>
      <c r="H45" s="2" t="s">
        <v>292</v>
      </c>
      <c r="J45" s="2" t="s">
        <v>293</v>
      </c>
      <c r="K45" s="4" t="str">
        <f t="shared" si="2"/>
        <v>24/05/2018</v>
      </c>
      <c r="L45" s="4" t="str">
        <f t="shared" si="3"/>
        <v>31/12/2030</v>
      </c>
      <c r="M45" s="2" t="s">
        <v>296</v>
      </c>
      <c r="N45" s="3" t="s">
        <v>294</v>
      </c>
      <c r="O45" s="2" t="s">
        <v>295</v>
      </c>
    </row>
    <row r="46" spans="1:15" ht="60" x14ac:dyDescent="0.25">
      <c r="A46" s="1">
        <v>44</v>
      </c>
      <c r="B46" s="2" t="s">
        <v>297</v>
      </c>
      <c r="C46" s="2" t="s">
        <v>8</v>
      </c>
      <c r="D46" s="8" t="str">
        <f>HYPERLINK("https://comunicacion.jcyl.es/web/jcyl/Comunicacion/es/Plantilla100Detalle/1284877983892/NotaPrensa/1285147687544/Comunicación")</f>
        <v>https://comunicacion.jcyl.es/web/jcyl/Comunicacion/es/Plantilla100Detalle/1284877983892/NotaPrensa/1285147687544/Comunicación</v>
      </c>
      <c r="E46" s="2" t="s">
        <v>2</v>
      </c>
      <c r="F46" s="2" t="s">
        <v>298</v>
      </c>
      <c r="G46" s="2" t="s">
        <v>299</v>
      </c>
      <c r="H46" s="2" t="s">
        <v>300</v>
      </c>
      <c r="J46" s="2" t="s">
        <v>301</v>
      </c>
      <c r="K46" s="4" t="str">
        <f t="shared" si="2"/>
        <v>01/01/2022</v>
      </c>
      <c r="L46" s="4" t="str">
        <f t="shared" si="3"/>
        <v>31/10/2025</v>
      </c>
      <c r="M46" s="2" t="s">
        <v>304</v>
      </c>
      <c r="N46" s="3" t="s">
        <v>302</v>
      </c>
      <c r="O46" s="2" t="s">
        <v>303</v>
      </c>
    </row>
    <row r="47" spans="1:15" ht="60" x14ac:dyDescent="0.25">
      <c r="A47" s="1">
        <v>45</v>
      </c>
      <c r="B47" s="2" t="s">
        <v>305</v>
      </c>
      <c r="C47" s="2" t="s">
        <v>8</v>
      </c>
      <c r="D47" s="8" t="str">
        <f>HYPERLINK("https://sede.red.gob.es/es/procedimientos/convocatoria-de-ayudas-destinadas-la-digitalizacion-de-empresas-del-segmento-ii")</f>
        <v>https://sede.red.gob.es/es/procedimientos/convocatoria-de-ayudas-destinadas-la-digitalizacion-de-empresas-del-segmento-ii</v>
      </c>
      <c r="E47" s="2" t="s">
        <v>20</v>
      </c>
      <c r="F47" s="2" t="s">
        <v>306</v>
      </c>
      <c r="G47" s="2" t="s">
        <v>307</v>
      </c>
      <c r="H47" s="2" t="s">
        <v>308</v>
      </c>
      <c r="I47" s="2" t="s">
        <v>309</v>
      </c>
      <c r="J47" s="2" t="s">
        <v>310</v>
      </c>
      <c r="K47" s="4" t="str">
        <f t="shared" si="2"/>
        <v>02/09/2022</v>
      </c>
      <c r="L47" s="4" t="str">
        <f t="shared" si="3"/>
        <v>31/12/2024</v>
      </c>
      <c r="M47" s="2" t="s">
        <v>313</v>
      </c>
      <c r="N47" s="3" t="s">
        <v>311</v>
      </c>
      <c r="O47" s="2" t="s">
        <v>312</v>
      </c>
    </row>
    <row r="48" spans="1:15" ht="75" x14ac:dyDescent="0.25">
      <c r="A48" s="1">
        <v>46</v>
      </c>
      <c r="B48" s="2" t="s">
        <v>314</v>
      </c>
      <c r="C48" s="2" t="s">
        <v>8</v>
      </c>
      <c r="D48" s="8" t="str">
        <f>HYPERLINK("https://www.boe.es/diario_boe/txt.php?id=BOE-A-2022-483")</f>
        <v>https://www.boe.es/diario_boe/txt.php?id=BOE-A-2022-483</v>
      </c>
      <c r="E48" s="2" t="s">
        <v>20</v>
      </c>
      <c r="F48" s="2" t="s">
        <v>21</v>
      </c>
      <c r="G48" s="2" t="s">
        <v>315</v>
      </c>
      <c r="H48" s="2" t="s">
        <v>316</v>
      </c>
      <c r="I48" s="2" t="s">
        <v>317</v>
      </c>
      <c r="J48" s="2" t="s">
        <v>318</v>
      </c>
      <c r="K48" s="4" t="str">
        <f t="shared" si="2"/>
        <v>12/01/2022</v>
      </c>
      <c r="L48" s="4" t="str">
        <f t="shared" si="3"/>
        <v>31/03/2030</v>
      </c>
      <c r="M48" s="2"/>
      <c r="N48" s="3" t="s">
        <v>319</v>
      </c>
      <c r="O48" s="2" t="s">
        <v>320</v>
      </c>
    </row>
    <row r="49" spans="1:15" ht="90" x14ac:dyDescent="0.25">
      <c r="A49" s="1">
        <v>47</v>
      </c>
      <c r="B49" s="2" t="s">
        <v>321</v>
      </c>
      <c r="C49" s="2" t="s">
        <v>15</v>
      </c>
      <c r="D49" s="8" t="str">
        <f>HYPERLINK("https://planderecuperacion.gob.es/como-acceder-a-los-fondos/pertes/perte-de-digitalizacion-del-ciclo-del-agua")</f>
        <v>https://planderecuperacion.gob.es/como-acceder-a-los-fondos/pertes/perte-de-digitalizacion-del-ciclo-del-agua</v>
      </c>
      <c r="E49" s="2" t="s">
        <v>20</v>
      </c>
      <c r="F49" s="2" t="s">
        <v>21</v>
      </c>
      <c r="G49" s="2" t="s">
        <v>315</v>
      </c>
      <c r="H49" s="2" t="s">
        <v>322</v>
      </c>
      <c r="J49" s="2" t="s">
        <v>323</v>
      </c>
      <c r="K49" s="4" t="str">
        <f t="shared" si="2"/>
        <v>30/09/2022</v>
      </c>
      <c r="L49" s="4" t="str">
        <f t="shared" si="3"/>
        <v>10/02/2023</v>
      </c>
      <c r="M49" s="2" t="s">
        <v>325</v>
      </c>
      <c r="N49" s="3" t="s">
        <v>324</v>
      </c>
      <c r="O49" s="2" t="s">
        <v>172</v>
      </c>
    </row>
    <row r="50" spans="1:15" ht="30" x14ac:dyDescent="0.25">
      <c r="A50" s="1">
        <v>48</v>
      </c>
      <c r="B50" s="2" t="s">
        <v>326</v>
      </c>
      <c r="C50" s="2" t="s">
        <v>8</v>
      </c>
      <c r="D50" s="8" t="str">
        <f>HYPERLINK("https://planderecuperacion.gob.es/como-acceder-a-los-fondos/pertes/perte-aeroespacial")</f>
        <v>https://planderecuperacion.gob.es/como-acceder-a-los-fondos/pertes/perte-aeroespacial</v>
      </c>
      <c r="E50" s="2" t="s">
        <v>20</v>
      </c>
      <c r="F50" s="2" t="s">
        <v>327</v>
      </c>
      <c r="G50" s="2" t="s">
        <v>328</v>
      </c>
      <c r="J50" s="2" t="s">
        <v>329</v>
      </c>
      <c r="K50" s="4" t="str">
        <f t="shared" si="2"/>
        <v>22/03/2022</v>
      </c>
      <c r="L50" s="4" t="str">
        <f t="shared" si="3"/>
        <v>22/03/2027</v>
      </c>
      <c r="M50" s="2"/>
      <c r="N50" s="3" t="s">
        <v>330</v>
      </c>
      <c r="O50" s="2" t="s">
        <v>331</v>
      </c>
    </row>
    <row r="51" spans="1:15" ht="75" x14ac:dyDescent="0.25">
      <c r="A51" s="1">
        <v>49</v>
      </c>
      <c r="B51" s="2" t="s">
        <v>332</v>
      </c>
      <c r="C51" s="2" t="s">
        <v>8</v>
      </c>
      <c r="D51" s="8" t="str">
        <f>HYPERLINK("https://www.enisa.es/es/financia-tu-empresa/lineas-de-financiacion/d/agroinnpulso")</f>
        <v>https://www.enisa.es/es/financia-tu-empresa/lineas-de-financiacion/d/agroinnpulso</v>
      </c>
      <c r="E51" s="2" t="s">
        <v>20</v>
      </c>
      <c r="F51" s="2" t="s">
        <v>333</v>
      </c>
      <c r="G51" s="2" t="s">
        <v>334</v>
      </c>
      <c r="H51" s="2" t="s">
        <v>335</v>
      </c>
      <c r="J51" s="2" t="s">
        <v>336</v>
      </c>
      <c r="K51" s="4" t="str">
        <f t="shared" si="2"/>
        <v>20/03/2023</v>
      </c>
      <c r="L51" s="4" t="str">
        <f t="shared" si="3"/>
        <v>31/12/2030</v>
      </c>
      <c r="M51" s="2"/>
      <c r="N51" s="3" t="s">
        <v>209</v>
      </c>
      <c r="O51" s="2" t="s">
        <v>295</v>
      </c>
    </row>
    <row r="52" spans="1:15" ht="75" x14ac:dyDescent="0.25">
      <c r="A52" s="1">
        <v>50</v>
      </c>
      <c r="B52" s="2" t="s">
        <v>337</v>
      </c>
      <c r="C52" s="2" t="s">
        <v>8</v>
      </c>
      <c r="D52" s="8" t="str">
        <f>HYPERLINK("https://www.tramitacastillayleon.jcyl.es/web/jcyl/AdministracionElectronica/es/Plantilla100Detalle/1251181050732/Ayuda012/1285216468479/Propuesta")</f>
        <v>https://www.tramitacastillayleon.jcyl.es/web/jcyl/AdministracionElectronica/es/Plantilla100Detalle/1251181050732/Ayuda012/1285216468479/Propuesta</v>
      </c>
      <c r="E52" s="2" t="s">
        <v>2</v>
      </c>
      <c r="F52" s="2" t="s">
        <v>3</v>
      </c>
      <c r="G52" s="2" t="s">
        <v>29</v>
      </c>
      <c r="H52" s="2" t="s">
        <v>338</v>
      </c>
      <c r="I52" s="2" t="s">
        <v>339</v>
      </c>
      <c r="J52" s="2" t="s">
        <v>32</v>
      </c>
      <c r="K52" s="4" t="str">
        <f t="shared" si="2"/>
        <v>04/11/2022</v>
      </c>
      <c r="L52" s="4" t="str">
        <f t="shared" si="3"/>
        <v>03/11/2027</v>
      </c>
      <c r="M52" s="2" t="s">
        <v>342</v>
      </c>
      <c r="N52" s="3" t="s">
        <v>340</v>
      </c>
      <c r="O52" s="2" t="s">
        <v>341</v>
      </c>
    </row>
    <row r="53" spans="1:15" ht="75" x14ac:dyDescent="0.25">
      <c r="A53" s="1">
        <v>51</v>
      </c>
      <c r="B53" s="2" t="s">
        <v>343</v>
      </c>
      <c r="C53" s="2" t="s">
        <v>8</v>
      </c>
      <c r="D53" s="8" t="str">
        <f>HYPERLINK("https://sede.red.gob.es/es/procedimientos/convocatoria-de-ayudas-destinadas-la-digitalizacion-de-empresas-del-segmento-iii")</f>
        <v>https://sede.red.gob.es/es/procedimientos/convocatoria-de-ayudas-destinadas-la-digitalizacion-de-empresas-del-segmento-iii</v>
      </c>
      <c r="E53" s="2" t="s">
        <v>20</v>
      </c>
      <c r="F53" s="2" t="s">
        <v>306</v>
      </c>
      <c r="G53" s="2" t="s">
        <v>344</v>
      </c>
      <c r="H53" s="2" t="s">
        <v>345</v>
      </c>
      <c r="I53" s="2" t="s">
        <v>346</v>
      </c>
      <c r="J53" s="2" t="s">
        <v>347</v>
      </c>
      <c r="K53" s="4" t="str">
        <f t="shared" si="2"/>
        <v>20/10/2022</v>
      </c>
      <c r="L53" s="4" t="str">
        <f t="shared" si="3"/>
        <v>31/12/2024</v>
      </c>
      <c r="M53" s="2" t="s">
        <v>349</v>
      </c>
      <c r="N53" s="3" t="s">
        <v>348</v>
      </c>
      <c r="O53" s="2" t="s">
        <v>312</v>
      </c>
    </row>
    <row r="54" spans="1:15" ht="75" x14ac:dyDescent="0.25">
      <c r="A54" s="1">
        <v>52</v>
      </c>
      <c r="B54" s="2" t="s">
        <v>350</v>
      </c>
      <c r="C54" s="2" t="s">
        <v>15</v>
      </c>
      <c r="D54" s="8" t="str">
        <f>HYPERLINK("https://www.mincotur.gob.es/PortalAyudas/red-dti-xacobeo/DescipcionGeneral/Paginas/Index.aspx")</f>
        <v>https://www.mincotur.gob.es/PortalAyudas/red-dti-xacobeo/DescipcionGeneral/Paginas/Index.aspx</v>
      </c>
      <c r="E54" s="2" t="s">
        <v>20</v>
      </c>
      <c r="F54" s="2" t="s">
        <v>35</v>
      </c>
      <c r="G54" s="2" t="s">
        <v>351</v>
      </c>
      <c r="H54" s="2" t="s">
        <v>352</v>
      </c>
      <c r="I54" s="2" t="s">
        <v>353</v>
      </c>
      <c r="J54" s="2" t="s">
        <v>32</v>
      </c>
      <c r="K54" s="4" t="str">
        <f t="shared" si="2"/>
        <v>13/05/2022</v>
      </c>
      <c r="L54" s="4" t="str">
        <f t="shared" si="3"/>
        <v>13/06/2022</v>
      </c>
      <c r="M54" s="2" t="s">
        <v>356</v>
      </c>
      <c r="N54" s="3" t="s">
        <v>354</v>
      </c>
      <c r="O54" s="2" t="s">
        <v>355</v>
      </c>
    </row>
    <row r="55" spans="1:15" ht="60" x14ac:dyDescent="0.25">
      <c r="A55" s="1">
        <v>53</v>
      </c>
      <c r="B55" s="2" t="s">
        <v>357</v>
      </c>
      <c r="C55" s="2" t="s">
        <v>15</v>
      </c>
      <c r="D55" s="8" t="str">
        <f>HYPERLINK("https://portalayudas.mineco.gob.es/emprendedoras-digitales/DescipcionGeneral/Paginas/Index.aspx")</f>
        <v>https://portalayudas.mineco.gob.es/emprendedoras-digitales/DescipcionGeneral/Paginas/Index.aspx</v>
      </c>
      <c r="E55" s="2" t="s">
        <v>20</v>
      </c>
      <c r="F55" s="2" t="s">
        <v>70</v>
      </c>
      <c r="G55" s="2" t="s">
        <v>357</v>
      </c>
      <c r="H55" s="2" t="s">
        <v>358</v>
      </c>
      <c r="I55" s="2" t="s">
        <v>359</v>
      </c>
      <c r="J55" s="2" t="s">
        <v>360</v>
      </c>
      <c r="K55" s="4" t="str">
        <f t="shared" si="2"/>
        <v>18/10/2021</v>
      </c>
      <c r="L55" s="4" t="str">
        <f t="shared" si="3"/>
        <v>31/12/2023</v>
      </c>
      <c r="M55" s="2" t="s">
        <v>362</v>
      </c>
      <c r="N55" s="3" t="s">
        <v>361</v>
      </c>
      <c r="O55" s="2" t="s">
        <v>180</v>
      </c>
    </row>
    <row r="56" spans="1:15" ht="75" x14ac:dyDescent="0.25">
      <c r="A56" s="1">
        <v>54</v>
      </c>
      <c r="B56" s="2" t="s">
        <v>363</v>
      </c>
      <c r="C56" s="2" t="s">
        <v>367</v>
      </c>
      <c r="D56" s="8" t="str">
        <f>HYPERLINK("https://planderecuperacion.gob.es/como-acceder-a-los-fondos/pertes/perte-de-microelectronica-y-semiconductores")</f>
        <v>https://planderecuperacion.gob.es/como-acceder-a-los-fondos/pertes/perte-de-microelectronica-y-semiconductores</v>
      </c>
      <c r="E56" s="2" t="s">
        <v>20</v>
      </c>
      <c r="F56" s="2" t="s">
        <v>70</v>
      </c>
      <c r="G56" s="2" t="s">
        <v>364</v>
      </c>
      <c r="H56" s="2" t="s">
        <v>365</v>
      </c>
      <c r="I56" s="2" t="s">
        <v>366</v>
      </c>
      <c r="K56" s="4" t="str">
        <f t="shared" si="2"/>
        <v>24/05/2022</v>
      </c>
      <c r="L56" s="4" t="str">
        <f t="shared" si="3"/>
        <v>23/05/2027</v>
      </c>
      <c r="M56" s="2" t="s">
        <v>52</v>
      </c>
      <c r="N56" s="3" t="s">
        <v>368</v>
      </c>
      <c r="O56" s="2" t="s">
        <v>369</v>
      </c>
    </row>
    <row r="57" spans="1:15" ht="75" x14ac:dyDescent="0.25">
      <c r="A57" s="1">
        <v>55</v>
      </c>
      <c r="B57" s="2" t="s">
        <v>370</v>
      </c>
      <c r="C57" s="2" t="s">
        <v>367</v>
      </c>
      <c r="D57" s="8" t="str">
        <f>HYPERLINK("https://planderecuperacion.gob.es/como-acceder-a-los-fondos/pertes/perte-nueva-economia-de-la-lengua")</f>
        <v>https://planderecuperacion.gob.es/como-acceder-a-los-fondos/pertes/perte-nueva-economia-de-la-lengua</v>
      </c>
      <c r="E57" s="2" t="s">
        <v>20</v>
      </c>
      <c r="F57" s="2" t="s">
        <v>70</v>
      </c>
      <c r="G57" s="2" t="s">
        <v>370</v>
      </c>
      <c r="H57" s="2" t="s">
        <v>371</v>
      </c>
      <c r="I57" s="2" t="s">
        <v>372</v>
      </c>
      <c r="K57" s="4" t="str">
        <f t="shared" si="2"/>
        <v>01/03/2022</v>
      </c>
      <c r="L57" s="4" t="str">
        <f t="shared" si="3"/>
        <v>28/02/2027</v>
      </c>
      <c r="M57" s="2" t="s">
        <v>52</v>
      </c>
      <c r="N57" s="3" t="s">
        <v>373</v>
      </c>
      <c r="O57" s="2" t="s">
        <v>374</v>
      </c>
    </row>
    <row r="58" spans="1:15" ht="75" x14ac:dyDescent="0.25">
      <c r="A58" s="1">
        <v>56</v>
      </c>
      <c r="B58" s="2" t="s">
        <v>375</v>
      </c>
      <c r="C58" s="2" t="s">
        <v>8</v>
      </c>
      <c r="D58" s="8" t="str">
        <f>HYPERLINK("https://commission.europa.eu/funding-tenders/find-funding/eu-funding-programmes/digital-europe-programme_en?prefLang=es")</f>
        <v>https://commission.europa.eu/funding-tenders/find-funding/eu-funding-programmes/digital-europe-programme_en?prefLang=es</v>
      </c>
      <c r="E58" s="2" t="s">
        <v>45</v>
      </c>
      <c r="F58" s="2" t="s">
        <v>46</v>
      </c>
      <c r="G58" s="2" t="s">
        <v>376</v>
      </c>
      <c r="H58" s="2" t="s">
        <v>377</v>
      </c>
      <c r="I58" s="2" t="s">
        <v>378</v>
      </c>
      <c r="J58" s="2" t="s">
        <v>32</v>
      </c>
      <c r="K58" s="4" t="str">
        <f t="shared" si="2"/>
        <v>20/03/2023</v>
      </c>
      <c r="L58" s="4" t="str">
        <f t="shared" si="3"/>
        <v>31/12/2027</v>
      </c>
      <c r="M58" s="2" t="s">
        <v>52</v>
      </c>
      <c r="N58" s="3" t="s">
        <v>209</v>
      </c>
      <c r="O58" s="2" t="s">
        <v>379</v>
      </c>
    </row>
    <row r="59" spans="1:15" ht="60" x14ac:dyDescent="0.25">
      <c r="A59" s="1">
        <v>57</v>
      </c>
      <c r="B59" s="2" t="s">
        <v>380</v>
      </c>
      <c r="C59" s="2" t="s">
        <v>15</v>
      </c>
      <c r="D59" s="8" t="str">
        <f>HYPERLINK("https://ai4copernicus-project.eu/5th-round-of-open-calls-now-open/")</f>
        <v>https://ai4copernicus-project.eu/5th-round-of-open-calls-now-open/</v>
      </c>
      <c r="E59" s="2" t="s">
        <v>45</v>
      </c>
      <c r="F59" s="2" t="s">
        <v>381</v>
      </c>
      <c r="G59" s="2" t="s">
        <v>382</v>
      </c>
      <c r="H59" s="2" t="s">
        <v>383</v>
      </c>
      <c r="I59" s="2" t="s">
        <v>384</v>
      </c>
      <c r="J59" s="2" t="s">
        <v>385</v>
      </c>
      <c r="K59" s="4" t="str">
        <f t="shared" si="2"/>
        <v>06/02/2023</v>
      </c>
      <c r="L59" s="4" t="str">
        <f t="shared" si="3"/>
        <v>31/03/2023</v>
      </c>
      <c r="M59" s="2"/>
      <c r="N59" s="3" t="s">
        <v>103</v>
      </c>
      <c r="O59" s="2" t="s">
        <v>246</v>
      </c>
    </row>
    <row r="60" spans="1:15" ht="60" x14ac:dyDescent="0.25">
      <c r="A60" s="1">
        <v>58</v>
      </c>
      <c r="B60" s="2" t="s">
        <v>386</v>
      </c>
      <c r="C60" s="2" t="s">
        <v>15</v>
      </c>
      <c r="D60" s="8" t="str">
        <f>HYPERLINK("https://terminet-h2020.eu/open-call-templates/#")</f>
        <v>https://terminet-h2020.eu/open-call-templates/#</v>
      </c>
      <c r="E60" s="2" t="s">
        <v>45</v>
      </c>
      <c r="F60" s="2" t="s">
        <v>387</v>
      </c>
      <c r="G60" s="2" t="s">
        <v>388</v>
      </c>
      <c r="H60" s="2" t="s">
        <v>389</v>
      </c>
      <c r="I60" s="2" t="s">
        <v>390</v>
      </c>
      <c r="J60" s="2" t="s">
        <v>391</v>
      </c>
      <c r="K60" s="4" t="str">
        <f t="shared" si="2"/>
        <v>01/08/2022</v>
      </c>
      <c r="L60" s="4" t="str">
        <f t="shared" si="3"/>
        <v>31/03/2023</v>
      </c>
      <c r="M60" s="2"/>
      <c r="N60" s="3" t="s">
        <v>392</v>
      </c>
      <c r="O60" s="2" t="s">
        <v>246</v>
      </c>
    </row>
    <row r="61" spans="1:15" ht="45" x14ac:dyDescent="0.25">
      <c r="A61" s="1">
        <v>59</v>
      </c>
      <c r="B61" s="2" t="s">
        <v>393</v>
      </c>
      <c r="C61" s="2" t="s">
        <v>15</v>
      </c>
      <c r="D61" s="8" t="str">
        <f>HYPERLINK("https://trustchain.ngi.eu/apply/")</f>
        <v>https://trustchain.ngi.eu/apply/</v>
      </c>
      <c r="E61" s="2" t="s">
        <v>45</v>
      </c>
      <c r="F61" s="2" t="s">
        <v>394</v>
      </c>
      <c r="G61" s="2" t="s">
        <v>395</v>
      </c>
      <c r="H61" s="2" t="s">
        <v>396</v>
      </c>
      <c r="I61" s="2" t="s">
        <v>397</v>
      </c>
      <c r="J61" s="2" t="s">
        <v>398</v>
      </c>
      <c r="K61" s="4" t="str">
        <f t="shared" si="2"/>
        <v>08/02/2023</v>
      </c>
      <c r="L61" s="4" t="str">
        <f t="shared" si="3"/>
        <v>10/04/2023</v>
      </c>
      <c r="M61" s="2"/>
      <c r="N61" s="3" t="s">
        <v>399</v>
      </c>
      <c r="O61" s="2" t="s">
        <v>400</v>
      </c>
    </row>
    <row r="62" spans="1:15" ht="60" x14ac:dyDescent="0.25">
      <c r="A62" s="1">
        <v>60</v>
      </c>
      <c r="B62" s="2" t="s">
        <v>401</v>
      </c>
      <c r="C62" s="2" t="s">
        <v>15</v>
      </c>
      <c r="D62" s="8" t="str">
        <f>HYPERLINK("https://openwebsearch.eu/community/call1/#callpackage")</f>
        <v>https://openwebsearch.eu/community/call1/#callpackage</v>
      </c>
      <c r="E62" s="2" t="s">
        <v>45</v>
      </c>
      <c r="F62" s="2" t="s">
        <v>402</v>
      </c>
      <c r="G62" s="2" t="s">
        <v>403</v>
      </c>
      <c r="H62" s="2" t="s">
        <v>404</v>
      </c>
      <c r="I62" s="2" t="s">
        <v>405</v>
      </c>
      <c r="J62" s="2" t="s">
        <v>406</v>
      </c>
      <c r="K62" s="4" t="str">
        <f t="shared" si="2"/>
        <v>01/03/2023</v>
      </c>
      <c r="L62" s="4" t="str">
        <f t="shared" si="3"/>
        <v>28/04/2023</v>
      </c>
      <c r="M62" s="2"/>
      <c r="N62" s="3" t="s">
        <v>407</v>
      </c>
      <c r="O62" s="2" t="s">
        <v>140</v>
      </c>
    </row>
    <row r="63" spans="1:15" ht="45" x14ac:dyDescent="0.25">
      <c r="A63" s="1">
        <v>61</v>
      </c>
      <c r="B63" s="2" t="s">
        <v>408</v>
      </c>
      <c r="C63" s="2" t="s">
        <v>15</v>
      </c>
      <c r="D63" s="8" t="str">
        <f>HYPERLINK("https://earashi.eu/open-calls/")</f>
        <v>https://earashi.eu/open-calls/</v>
      </c>
      <c r="E63" s="2" t="s">
        <v>45</v>
      </c>
      <c r="F63" s="2" t="s">
        <v>409</v>
      </c>
      <c r="G63" s="2" t="s">
        <v>410</v>
      </c>
      <c r="H63" s="2" t="s">
        <v>404</v>
      </c>
      <c r="I63" s="2" t="s">
        <v>411</v>
      </c>
      <c r="J63" s="2" t="s">
        <v>412</v>
      </c>
      <c r="K63" s="4" t="str">
        <f t="shared" si="2"/>
        <v>16/02/2023</v>
      </c>
      <c r="L63" s="4" t="str">
        <f t="shared" si="3"/>
        <v>12/05/2023</v>
      </c>
      <c r="M63" s="2"/>
      <c r="N63" s="3" t="s">
        <v>413</v>
      </c>
      <c r="O63" s="2" t="s">
        <v>414</v>
      </c>
    </row>
    <row r="64" spans="1:15" ht="45" x14ac:dyDescent="0.25">
      <c r="A64" s="1">
        <v>62</v>
      </c>
      <c r="B64" s="2" t="s">
        <v>415</v>
      </c>
      <c r="C64" s="2" t="s">
        <v>15</v>
      </c>
      <c r="D64" s="8" t="str">
        <f>HYPERLINK("https://clustercollaboration.eu/content/socialtech4eu-call-social-enterprises-europe-financial-support-training")</f>
        <v>https://clustercollaboration.eu/content/socialtech4eu-call-social-enterprises-europe-financial-support-training</v>
      </c>
      <c r="E64" s="2" t="s">
        <v>45</v>
      </c>
      <c r="F64" s="2" t="s">
        <v>416</v>
      </c>
      <c r="G64" s="2" t="s">
        <v>417</v>
      </c>
      <c r="H64" s="2" t="s">
        <v>418</v>
      </c>
      <c r="I64" s="2" t="s">
        <v>419</v>
      </c>
      <c r="J64" s="2" t="s">
        <v>420</v>
      </c>
      <c r="K64" s="4" t="str">
        <f t="shared" si="2"/>
        <v>08/02/2023</v>
      </c>
      <c r="L64" s="4" t="str">
        <f t="shared" si="3"/>
        <v>12/05/2023</v>
      </c>
      <c r="M64" s="2"/>
      <c r="N64" s="3" t="s">
        <v>399</v>
      </c>
      <c r="O64" s="2" t="s">
        <v>414</v>
      </c>
    </row>
    <row r="65" spans="1:15" ht="60" x14ac:dyDescent="0.25">
      <c r="A65" s="1">
        <v>63</v>
      </c>
      <c r="B65" s="2" t="s">
        <v>421</v>
      </c>
      <c r="C65" s="2" t="s">
        <v>15</v>
      </c>
      <c r="D65" s="8" t="str">
        <f>HYPERLINK("https://www.cdti.es/")</f>
        <v>https://www.cdti.es/</v>
      </c>
      <c r="E65" s="2" t="s">
        <v>20</v>
      </c>
      <c r="F65" s="2" t="s">
        <v>174</v>
      </c>
      <c r="G65" s="2" t="s">
        <v>422</v>
      </c>
      <c r="H65" s="2" t="s">
        <v>423</v>
      </c>
      <c r="I65" s="2" t="s">
        <v>424</v>
      </c>
      <c r="J65" s="2" t="s">
        <v>425</v>
      </c>
      <c r="K65" s="4" t="str">
        <f t="shared" si="2"/>
        <v>04/04/2023</v>
      </c>
      <c r="L65" s="4" t="str">
        <f t="shared" si="3"/>
        <v>16/05/2023</v>
      </c>
      <c r="M65" s="2"/>
      <c r="N65" s="3" t="s">
        <v>426</v>
      </c>
      <c r="O65" s="2" t="s">
        <v>427</v>
      </c>
    </row>
    <row r="66" spans="1:15" ht="90" x14ac:dyDescent="0.25">
      <c r="A66" s="1">
        <v>64</v>
      </c>
      <c r="B66" s="2" t="s">
        <v>428</v>
      </c>
      <c r="C66" s="2" t="s">
        <v>15</v>
      </c>
      <c r="D66" s="8" t="str">
        <f>HYPERLINK("https://sodebur.es/convocatoria-de-subvenciones-dirigidas-a-la-realizacion-de-actividades-de-digitalizacion-promocion-y-comercializacion-online-2023/")</f>
        <v>https://sodebur.es/convocatoria-de-subvenciones-dirigidas-a-la-realizacion-de-actividades-de-digitalizacion-promocion-y-comercializacion-online-2023/</v>
      </c>
      <c r="E66" s="2" t="s">
        <v>126</v>
      </c>
      <c r="F66" s="2" t="s">
        <v>429</v>
      </c>
      <c r="G66" s="2" t="s">
        <v>430</v>
      </c>
      <c r="H66" s="2" t="s">
        <v>431</v>
      </c>
      <c r="I66" s="2" t="s">
        <v>432</v>
      </c>
      <c r="J66" s="2" t="s">
        <v>433</v>
      </c>
      <c r="K66" s="4" t="str">
        <f t="shared" si="2"/>
        <v>21/04/2023</v>
      </c>
      <c r="L66" s="4" t="str">
        <f t="shared" si="3"/>
        <v>19/05/2023</v>
      </c>
      <c r="M66" s="2" t="s">
        <v>436</v>
      </c>
      <c r="N66" s="3" t="s">
        <v>434</v>
      </c>
      <c r="O66" s="2" t="s">
        <v>435</v>
      </c>
    </row>
    <row r="67" spans="1:15" ht="105" x14ac:dyDescent="0.25">
      <c r="A67" s="1">
        <v>65</v>
      </c>
      <c r="B67" s="2" t="s">
        <v>437</v>
      </c>
      <c r="C67" s="2" t="s">
        <v>15</v>
      </c>
      <c r="D67" s="8" t="str">
        <f>HYPERLINK("https://www.tramitacastillayleon.jcyl.es/web/jcyl/AdministracionElectronica/es/Plantilla100Detalle/1251181050732/enlaces/1285270972541/Propuesta")</f>
        <v>https://www.tramitacastillayleon.jcyl.es/web/jcyl/AdministracionElectronica/es/Plantilla100Detalle/1251181050732/enlaces/1285270972541/Propuesta</v>
      </c>
      <c r="E67" s="2" t="s">
        <v>2</v>
      </c>
      <c r="F67" s="2" t="s">
        <v>438</v>
      </c>
      <c r="G67" s="2" t="s">
        <v>439</v>
      </c>
      <c r="H67" s="2" t="s">
        <v>440</v>
      </c>
      <c r="I67" s="2" t="s">
        <v>441</v>
      </c>
      <c r="J67" s="2" t="s">
        <v>442</v>
      </c>
      <c r="K67" s="4" t="str">
        <f t="shared" ref="K67:K98" si="4">MID(N67,7,2)&amp;"/"&amp;MID(N67,5,2)&amp;"/"&amp;LEFT(N67,4)</f>
        <v>22/04/2023</v>
      </c>
      <c r="L67" s="4" t="str">
        <f t="shared" ref="L67:L98" si="5">MID(O67,7,2)&amp;"/"&amp;MID(O67,5,2)&amp;"/"&amp;LEFT(O67,4)</f>
        <v>22/05/2023</v>
      </c>
      <c r="M67" s="2" t="s">
        <v>445</v>
      </c>
      <c r="N67" s="3" t="s">
        <v>443</v>
      </c>
      <c r="O67" s="2" t="s">
        <v>444</v>
      </c>
    </row>
    <row r="68" spans="1:15" ht="75" x14ac:dyDescent="0.25">
      <c r="A68" s="1">
        <v>66</v>
      </c>
      <c r="B68" s="2" t="s">
        <v>446</v>
      </c>
      <c r="C68" s="2" t="s">
        <v>15</v>
      </c>
      <c r="D68" s="8" t="str">
        <f>HYPERLINK("https://www.oepm.es/es/sobre-OEPM/servicios-al-ciudadano/ayudas-y-subvenciones/ayudas-de-la-oepm-para-el-fomento-de-solicitudes-de-patentes-y-modelos-de-utilidad/")</f>
        <v>https://www.oepm.es/es/sobre-OEPM/servicios-al-ciudadano/ayudas-y-subvenciones/ayudas-de-la-oepm-para-el-fomento-de-solicitudes-de-patentes-y-modelos-de-utilidad/</v>
      </c>
      <c r="E68" s="2" t="s">
        <v>20</v>
      </c>
      <c r="F68" s="2" t="s">
        <v>447</v>
      </c>
      <c r="G68" s="2" t="s">
        <v>448</v>
      </c>
      <c r="H68" s="2" t="s">
        <v>449</v>
      </c>
      <c r="I68" s="2" t="s">
        <v>450</v>
      </c>
      <c r="J68" s="2" t="s">
        <v>451</v>
      </c>
      <c r="K68" s="4" t="str">
        <f t="shared" si="4"/>
        <v>26/04/2023</v>
      </c>
      <c r="L68" s="4" t="str">
        <f t="shared" si="5"/>
        <v>25/05/2023</v>
      </c>
      <c r="M68" s="2" t="s">
        <v>454</v>
      </c>
      <c r="N68" s="3" t="s">
        <v>452</v>
      </c>
      <c r="O68" s="2" t="s">
        <v>453</v>
      </c>
    </row>
    <row r="69" spans="1:15" ht="90" x14ac:dyDescent="0.25">
      <c r="A69" s="1">
        <v>67</v>
      </c>
      <c r="B69" s="2" t="s">
        <v>455</v>
      </c>
      <c r="C69" s="2" t="s">
        <v>15</v>
      </c>
      <c r="D69" s="8" t="str">
        <f>HYPERLINK("https://www.mincotur.gob.es/PortalAyudas/AgrupacionesEmpresariales/Paginas/Index.aspx")</f>
        <v>https://www.mincotur.gob.es/PortalAyudas/AgrupacionesEmpresariales/Paginas/Index.aspx</v>
      </c>
      <c r="E69" s="2" t="s">
        <v>20</v>
      </c>
      <c r="F69" s="2" t="s">
        <v>35</v>
      </c>
      <c r="G69" s="2" t="s">
        <v>456</v>
      </c>
      <c r="H69" s="2" t="s">
        <v>457</v>
      </c>
      <c r="I69" s="2" t="s">
        <v>458</v>
      </c>
      <c r="J69" s="2" t="s">
        <v>459</v>
      </c>
      <c r="K69" s="4" t="str">
        <f t="shared" si="4"/>
        <v>17/04/2023</v>
      </c>
      <c r="L69" s="4" t="str">
        <f t="shared" si="5"/>
        <v>15/05/2023</v>
      </c>
      <c r="M69" s="2"/>
      <c r="N69" s="3" t="s">
        <v>460</v>
      </c>
      <c r="O69" s="2" t="s">
        <v>461</v>
      </c>
    </row>
    <row r="70" spans="1:15" ht="105" x14ac:dyDescent="0.25">
      <c r="A70" s="1">
        <v>68</v>
      </c>
      <c r="B70" s="2" t="s">
        <v>462</v>
      </c>
      <c r="C70" s="2" t="s">
        <v>15</v>
      </c>
      <c r="D70" s="8" t="str">
        <f>HYPERLINK("https://recentre.grantplatform.com/")</f>
        <v>https://recentre.grantplatform.com/</v>
      </c>
      <c r="E70" s="2" t="s">
        <v>45</v>
      </c>
      <c r="F70" s="2" t="s">
        <v>463</v>
      </c>
      <c r="G70" s="2" t="s">
        <v>464</v>
      </c>
      <c r="H70" s="2" t="s">
        <v>465</v>
      </c>
      <c r="I70" s="2" t="s">
        <v>466</v>
      </c>
      <c r="J70" s="2" t="s">
        <v>467</v>
      </c>
      <c r="K70" s="4" t="str">
        <f t="shared" si="4"/>
        <v>18/04/2023</v>
      </c>
      <c r="L70" s="4" t="str">
        <f t="shared" si="5"/>
        <v>27/06/2023</v>
      </c>
      <c r="M70" s="2" t="s">
        <v>470</v>
      </c>
      <c r="N70" s="3" t="s">
        <v>468</v>
      </c>
      <c r="O70" s="2" t="s">
        <v>469</v>
      </c>
    </row>
    <row r="71" spans="1:15" ht="75" x14ac:dyDescent="0.25">
      <c r="A71" s="1">
        <v>69</v>
      </c>
      <c r="B71" s="2" t="s">
        <v>471</v>
      </c>
      <c r="C71" s="2" t="s">
        <v>15</v>
      </c>
      <c r="D71" s="8" t="str">
        <f>HYPERLINK("https://ngi-search-2nd-open-call.fundingbox.com/")</f>
        <v>https://ngi-search-2nd-open-call.fundingbox.com/</v>
      </c>
      <c r="E71" s="2" t="s">
        <v>45</v>
      </c>
      <c r="F71" s="2" t="s">
        <v>472</v>
      </c>
      <c r="G71" s="2" t="s">
        <v>473</v>
      </c>
      <c r="H71" s="2" t="s">
        <v>474</v>
      </c>
      <c r="I71" s="2" t="s">
        <v>475</v>
      </c>
      <c r="J71" s="2" t="s">
        <v>476</v>
      </c>
      <c r="K71" s="4" t="str">
        <f t="shared" si="4"/>
        <v>17/05/2023</v>
      </c>
      <c r="L71" s="4" t="str">
        <f t="shared" si="5"/>
        <v>01/06/2023</v>
      </c>
      <c r="M71" s="2" t="s">
        <v>479</v>
      </c>
      <c r="N71" s="3" t="s">
        <v>477</v>
      </c>
      <c r="O71" s="2" t="s">
        <v>478</v>
      </c>
    </row>
    <row r="72" spans="1:15" ht="75" x14ac:dyDescent="0.25">
      <c r="A72" s="1">
        <v>70</v>
      </c>
      <c r="B72" s="2" t="s">
        <v>480</v>
      </c>
      <c r="C72" s="2" t="s">
        <v>15</v>
      </c>
      <c r="D72" s="8" t="str">
        <f>HYPERLINK("https://elsa-ai.eu/innovationlab.html")</f>
        <v>https://elsa-ai.eu/innovationlab.html</v>
      </c>
      <c r="E72" s="2" t="s">
        <v>45</v>
      </c>
      <c r="F72" s="2" t="s">
        <v>481</v>
      </c>
      <c r="G72" s="2" t="s">
        <v>482</v>
      </c>
      <c r="H72" s="2" t="s">
        <v>483</v>
      </c>
      <c r="I72" s="2" t="s">
        <v>484</v>
      </c>
      <c r="J72" s="2" t="s">
        <v>485</v>
      </c>
      <c r="K72" s="4" t="str">
        <f t="shared" si="4"/>
        <v>18/05/2023</v>
      </c>
      <c r="L72" s="4" t="str">
        <f t="shared" si="5"/>
        <v>31/05/2023</v>
      </c>
      <c r="M72" s="2" t="s">
        <v>488</v>
      </c>
      <c r="N72" s="3" t="s">
        <v>486</v>
      </c>
      <c r="O72" s="2" t="s">
        <v>487</v>
      </c>
    </row>
    <row r="73" spans="1:15" ht="90" x14ac:dyDescent="0.25">
      <c r="A73" s="1">
        <v>71</v>
      </c>
      <c r="B73" s="2" t="s">
        <v>489</v>
      </c>
      <c r="C73" s="2" t="s">
        <v>8</v>
      </c>
      <c r="D73" s="8" t="str">
        <f>HYPERLINK("https://landing.eoi.es/generacion-digital-directivos-pymes/")</f>
        <v>https://landing.eoi.es/generacion-digital-directivos-pymes/</v>
      </c>
      <c r="E73" s="2" t="s">
        <v>20</v>
      </c>
      <c r="F73" s="2" t="s">
        <v>306</v>
      </c>
      <c r="G73" s="2" t="s">
        <v>490</v>
      </c>
      <c r="H73" s="2" t="s">
        <v>491</v>
      </c>
      <c r="I73" s="2" t="s">
        <v>492</v>
      </c>
      <c r="J73" s="2" t="s">
        <v>493</v>
      </c>
      <c r="K73" s="4" t="str">
        <f t="shared" si="4"/>
        <v>20/04/2023</v>
      </c>
      <c r="L73" s="4" t="str">
        <f t="shared" si="5"/>
        <v>12/06/2025</v>
      </c>
      <c r="M73" s="2" t="s">
        <v>495</v>
      </c>
      <c r="N73" s="3" t="s">
        <v>199</v>
      </c>
      <c r="O73" s="2" t="s">
        <v>494</v>
      </c>
    </row>
    <row r="74" spans="1:15" ht="75" x14ac:dyDescent="0.25">
      <c r="A74" s="1">
        <v>72</v>
      </c>
      <c r="B74" s="2" t="s">
        <v>496</v>
      </c>
      <c r="C74" s="2" t="s">
        <v>8</v>
      </c>
      <c r="D74" s="8" t="str">
        <f>HYPERLINK("https://landing.eoi.es/generacion-digital-pymes/")</f>
        <v>https://landing.eoi.es/generacion-digital-pymes/</v>
      </c>
      <c r="E74" s="2" t="s">
        <v>20</v>
      </c>
      <c r="F74" s="2" t="s">
        <v>306</v>
      </c>
      <c r="G74" s="2" t="s">
        <v>491</v>
      </c>
      <c r="H74" s="2" t="s">
        <v>497</v>
      </c>
      <c r="J74" s="2" t="s">
        <v>493</v>
      </c>
      <c r="K74" s="4" t="str">
        <f t="shared" si="4"/>
        <v>20/04/2023</v>
      </c>
      <c r="L74" s="4" t="str">
        <f t="shared" si="5"/>
        <v>12/06/2025</v>
      </c>
      <c r="M74" s="2" t="s">
        <v>498</v>
      </c>
      <c r="N74" s="3" t="s">
        <v>199</v>
      </c>
      <c r="O74" s="2" t="s">
        <v>494</v>
      </c>
    </row>
    <row r="75" spans="1:15" ht="90" x14ac:dyDescent="0.25">
      <c r="A75" s="1">
        <v>73</v>
      </c>
      <c r="B75" s="2" t="s">
        <v>499</v>
      </c>
      <c r="C75" s="2" t="s">
        <v>15</v>
      </c>
      <c r="D75" s="8" t="str">
        <f>HYPERLINK("https://www.tramitacastillayleon.jcyl.es/web/jcyl/AdministracionElectronica/es/Plantilla100Detalle/1251181050732/Ayuda012/1285282100845/Propuesta")</f>
        <v>https://www.tramitacastillayleon.jcyl.es/web/jcyl/AdministracionElectronica/es/Plantilla100Detalle/1251181050732/Ayuda012/1285282100845/Propuesta</v>
      </c>
      <c r="E75" s="2" t="s">
        <v>2</v>
      </c>
      <c r="F75" s="2" t="s">
        <v>438</v>
      </c>
      <c r="G75" s="2" t="s">
        <v>500</v>
      </c>
      <c r="H75" s="2" t="s">
        <v>501</v>
      </c>
      <c r="J75" s="2" t="s">
        <v>502</v>
      </c>
      <c r="K75" s="4" t="str">
        <f t="shared" si="4"/>
        <v>09/06/2023</v>
      </c>
      <c r="L75" s="4" t="str">
        <f t="shared" si="5"/>
        <v>22/06/2023</v>
      </c>
      <c r="M75" s="2" t="s">
        <v>505</v>
      </c>
      <c r="N75" s="3" t="s">
        <v>503</v>
      </c>
      <c r="O75" s="2" t="s">
        <v>504</v>
      </c>
    </row>
    <row r="76" spans="1:15" ht="105" x14ac:dyDescent="0.25">
      <c r="A76" s="1">
        <v>74</v>
      </c>
      <c r="B76" s="2" t="s">
        <v>506</v>
      </c>
      <c r="C76" s="2" t="s">
        <v>15</v>
      </c>
      <c r="D76" s="8" t="str">
        <f>HYPERLINK("https://www.tramitacastillayleon.jcyl.es/web/jcyl/AdministracionElectronica/es/Plantilla100Detalle/1251181050732/Ayuda012/1285281206714/Propuesta")</f>
        <v>https://www.tramitacastillayleon.jcyl.es/web/jcyl/AdministracionElectronica/es/Plantilla100Detalle/1251181050732/Ayuda012/1285281206714/Propuesta</v>
      </c>
      <c r="E76" s="2" t="s">
        <v>2</v>
      </c>
      <c r="F76" s="2" t="s">
        <v>98</v>
      </c>
      <c r="G76" s="2" t="s">
        <v>507</v>
      </c>
      <c r="H76" s="2" t="s">
        <v>508</v>
      </c>
      <c r="I76" s="2" t="s">
        <v>509</v>
      </c>
      <c r="J76" s="2" t="s">
        <v>510</v>
      </c>
      <c r="K76" s="4" t="str">
        <f t="shared" si="4"/>
        <v>25/05/2023</v>
      </c>
      <c r="L76" s="4" t="str">
        <f t="shared" si="5"/>
        <v>08/06/2023</v>
      </c>
      <c r="M76" s="2" t="s">
        <v>512</v>
      </c>
      <c r="N76" s="3" t="s">
        <v>453</v>
      </c>
      <c r="O76" s="2" t="s">
        <v>511</v>
      </c>
    </row>
    <row r="77" spans="1:15" ht="90" x14ac:dyDescent="0.25">
      <c r="A77" s="1">
        <v>75</v>
      </c>
      <c r="B77" s="2" t="s">
        <v>513</v>
      </c>
      <c r="C77" s="2" t="s">
        <v>15</v>
      </c>
      <c r="D77" s="8" t="str">
        <f>HYPERLINK("https://plataformapyme.es/es-es/Financiacion/Paginas/ACTIVAFinanciacion.aspx")</f>
        <v>https://plataformapyme.es/es-es/Financiacion/Paginas/ACTIVAFinanciacion.aspx</v>
      </c>
      <c r="E77" s="2" t="s">
        <v>20</v>
      </c>
      <c r="F77" s="2" t="s">
        <v>35</v>
      </c>
      <c r="G77" s="2" t="s">
        <v>514</v>
      </c>
      <c r="H77" s="2" t="s">
        <v>515</v>
      </c>
      <c r="I77" s="2" t="s">
        <v>516</v>
      </c>
      <c r="J77" s="2" t="s">
        <v>517</v>
      </c>
      <c r="K77" s="4" t="str">
        <f t="shared" si="4"/>
        <v>29/05/2023</v>
      </c>
      <c r="L77" s="4" t="str">
        <f t="shared" si="5"/>
        <v>27/06/2023</v>
      </c>
      <c r="M77" s="2"/>
      <c r="N77" s="3" t="s">
        <v>518</v>
      </c>
      <c r="O77" s="2" t="s">
        <v>469</v>
      </c>
    </row>
    <row r="78" spans="1:15" ht="105" x14ac:dyDescent="0.25">
      <c r="A78" s="1">
        <v>76</v>
      </c>
      <c r="B78" s="2" t="s">
        <v>519</v>
      </c>
      <c r="C78" s="2" t="s">
        <v>15</v>
      </c>
      <c r="D78" s="8" t="str">
        <f>HYPERLINK("https://www.tramitacastillayleon.jcyl.es/web/jcyl/AdministracionElectronica/es/Plantilla100Detalle/1251181050732/Ayuda012/1285279742236/Propuesta")</f>
        <v>https://www.tramitacastillayleon.jcyl.es/web/jcyl/AdministracionElectronica/es/Plantilla100Detalle/1251181050732/Ayuda012/1285279742236/Propuesta</v>
      </c>
      <c r="E78" s="2" t="s">
        <v>2</v>
      </c>
      <c r="F78" s="2" t="s">
        <v>520</v>
      </c>
      <c r="G78" s="2" t="s">
        <v>521</v>
      </c>
      <c r="H78" s="2" t="s">
        <v>522</v>
      </c>
      <c r="I78" s="2" t="s">
        <v>523</v>
      </c>
      <c r="J78" s="2" t="s">
        <v>524</v>
      </c>
      <c r="K78" s="4" t="str">
        <f t="shared" si="4"/>
        <v>02/06/2023</v>
      </c>
      <c r="L78" s="4" t="str">
        <f t="shared" si="5"/>
        <v>15/06/2023</v>
      </c>
      <c r="M78" s="2"/>
      <c r="N78" s="3" t="s">
        <v>525</v>
      </c>
      <c r="O78" s="2" t="s">
        <v>526</v>
      </c>
    </row>
    <row r="79" spans="1:15" ht="90" x14ac:dyDescent="0.25">
      <c r="A79" s="1">
        <v>77</v>
      </c>
      <c r="B79" s="2" t="s">
        <v>527</v>
      </c>
      <c r="C79" s="2" t="s">
        <v>15</v>
      </c>
      <c r="D79" s="8" t="str">
        <f>HYPERLINK("https://www.tramitacastillayleon.jcyl.es/web/jcyl/AdministracionElectronica/es/Plantilla100Detalle/1251181050732/Ayuda012/1285288274138/Propuesta")</f>
        <v>https://www.tramitacastillayleon.jcyl.es/web/jcyl/AdministracionElectronica/es/Plantilla100Detalle/1251181050732/Ayuda012/1285288274138/Propuesta</v>
      </c>
      <c r="E79" s="2" t="s">
        <v>2</v>
      </c>
      <c r="F79" s="2" t="s">
        <v>438</v>
      </c>
      <c r="G79" s="2" t="s">
        <v>528</v>
      </c>
      <c r="H79" s="2" t="s">
        <v>529</v>
      </c>
      <c r="I79" s="2" t="s">
        <v>530</v>
      </c>
      <c r="J79" s="2" t="s">
        <v>531</v>
      </c>
      <c r="K79" s="4" t="str">
        <f t="shared" si="4"/>
        <v>28/06/2023</v>
      </c>
      <c r="L79" s="4" t="str">
        <f t="shared" si="5"/>
        <v>27/07/2023</v>
      </c>
      <c r="M79" s="2" t="s">
        <v>534</v>
      </c>
      <c r="N79" s="3" t="s">
        <v>532</v>
      </c>
      <c r="O79" s="2" t="s">
        <v>533</v>
      </c>
    </row>
    <row r="80" spans="1:15" ht="75" x14ac:dyDescent="0.25">
      <c r="A80" s="1">
        <v>78</v>
      </c>
      <c r="B80" s="2" t="s">
        <v>535</v>
      </c>
      <c r="C80" s="2" t="s">
        <v>15</v>
      </c>
      <c r="D80" s="8" t="str">
        <f>HYPERLINK("https://www.aytoburgos.es/-/subvencion-autoempleo-para-nuevos-emprendedores-2023")</f>
        <v>https://www.aytoburgos.es/-/subvencion-autoempleo-para-nuevos-emprendedores-2023</v>
      </c>
      <c r="E80" s="2" t="s">
        <v>536</v>
      </c>
      <c r="F80" s="2" t="s">
        <v>537</v>
      </c>
      <c r="G80" s="2" t="s">
        <v>538</v>
      </c>
      <c r="H80" s="2" t="s">
        <v>539</v>
      </c>
      <c r="I80" s="2" t="s">
        <v>540</v>
      </c>
      <c r="J80" s="2" t="s">
        <v>541</v>
      </c>
      <c r="K80" s="4" t="str">
        <f t="shared" si="4"/>
        <v>08/06/2023</v>
      </c>
      <c r="L80" s="4" t="str">
        <f t="shared" si="5"/>
        <v>28/06/2023</v>
      </c>
      <c r="M80" s="2" t="s">
        <v>542</v>
      </c>
      <c r="N80" s="3" t="s">
        <v>511</v>
      </c>
      <c r="O80" s="2" t="s">
        <v>532</v>
      </c>
    </row>
    <row r="81" spans="1:15" ht="90" x14ac:dyDescent="0.25">
      <c r="A81" s="1">
        <v>79</v>
      </c>
      <c r="B81" s="2" t="s">
        <v>543</v>
      </c>
      <c r="C81" s="2" t="s">
        <v>15</v>
      </c>
      <c r="D81" s="8" t="str">
        <f>HYPERLINK("https://www.airise.eu/calls")</f>
        <v>https://www.airise.eu/calls</v>
      </c>
      <c r="E81" s="2" t="s">
        <v>45</v>
      </c>
      <c r="F81" s="2" t="s">
        <v>544</v>
      </c>
      <c r="G81" s="2" t="s">
        <v>545</v>
      </c>
      <c r="H81" s="2" t="s">
        <v>546</v>
      </c>
      <c r="I81" s="2" t="s">
        <v>547</v>
      </c>
      <c r="J81" s="2" t="s">
        <v>548</v>
      </c>
      <c r="K81" s="4" t="str">
        <f t="shared" si="4"/>
        <v>23/05/2023</v>
      </c>
      <c r="L81" s="4" t="str">
        <f t="shared" si="5"/>
        <v>30/06/2023</v>
      </c>
      <c r="M81" s="2"/>
      <c r="N81" s="3" t="s">
        <v>549</v>
      </c>
      <c r="O81" s="2" t="s">
        <v>550</v>
      </c>
    </row>
    <row r="82" spans="1:15" ht="105" x14ac:dyDescent="0.25">
      <c r="A82" s="1">
        <v>80</v>
      </c>
      <c r="B82" s="2" t="s">
        <v>551</v>
      </c>
      <c r="C82" s="2" t="s">
        <v>8</v>
      </c>
      <c r="D82" s="8" t="str">
        <f>HYPERLINK("https://www.tramitacastillayleon.jcyl.es/web/jcyl/AdministracionElectronica/es/Plantilla100Detalle/1251181050732/Ayuda012/1285292642303/Propuesta?utm_source=alertascontenidos&amp;utm_medium=mail&amp;utm_campaign=Ayuda")</f>
        <v>https://www.tramitacastillayleon.jcyl.es/web/jcyl/AdministracionElectronica/es/Plantilla100Detalle/1251181050732/Ayuda012/1285292642303/Propuesta?utm_source=alertascontenidos&amp;utm_medium=mail&amp;utm_campaign=Ayuda</v>
      </c>
      <c r="E82" s="2" t="s">
        <v>2</v>
      </c>
      <c r="F82" s="2" t="s">
        <v>3</v>
      </c>
      <c r="G82" s="2" t="s">
        <v>552</v>
      </c>
      <c r="H82" s="2" t="s">
        <v>553</v>
      </c>
      <c r="I82" s="2" t="s">
        <v>554</v>
      </c>
      <c r="J82" s="2" t="s">
        <v>555</v>
      </c>
      <c r="K82" s="4" t="str">
        <f t="shared" si="4"/>
        <v>27/06/2023</v>
      </c>
      <c r="L82" s="4" t="str">
        <f t="shared" si="5"/>
        <v>21/07/2027</v>
      </c>
      <c r="M82" s="2" t="s">
        <v>557</v>
      </c>
      <c r="N82" s="3" t="s">
        <v>469</v>
      </c>
      <c r="O82" s="2" t="s">
        <v>556</v>
      </c>
    </row>
    <row r="83" spans="1:15" ht="60" x14ac:dyDescent="0.25">
      <c r="A83" s="1">
        <v>81</v>
      </c>
      <c r="B83" s="2" t="s">
        <v>558</v>
      </c>
      <c r="C83" s="2" t="s">
        <v>8</v>
      </c>
      <c r="D83" s="8" t="str">
        <f>HYPERLINK("https://sede.red.gob.es/es/procedimientos/convocatoria-de-ayudas-destinadas-la-digitalizacion-de-empresas-del-segmento-i-entre")</f>
        <v>https://sede.red.gob.es/es/procedimientos/convocatoria-de-ayudas-destinadas-la-digitalizacion-de-empresas-del-segmento-i-entre</v>
      </c>
      <c r="E83" s="2" t="s">
        <v>20</v>
      </c>
      <c r="F83" s="2" t="s">
        <v>306</v>
      </c>
      <c r="G83" s="2" t="s">
        <v>559</v>
      </c>
      <c r="H83" s="2" t="s">
        <v>560</v>
      </c>
      <c r="I83" s="2" t="s">
        <v>309</v>
      </c>
      <c r="J83" s="2" t="s">
        <v>561</v>
      </c>
      <c r="K83" s="4" t="str">
        <f t="shared" si="4"/>
        <v>15/03/2022</v>
      </c>
      <c r="L83" s="4" t="str">
        <f t="shared" si="5"/>
        <v>31/12/2024</v>
      </c>
      <c r="M83" s="2" t="s">
        <v>562</v>
      </c>
      <c r="N83" s="3" t="s">
        <v>282</v>
      </c>
      <c r="O83" s="2" t="s">
        <v>312</v>
      </c>
    </row>
    <row r="84" spans="1:15" ht="30" x14ac:dyDescent="0.25">
      <c r="A84" s="1">
        <v>82</v>
      </c>
      <c r="B84" s="2" t="s">
        <v>563</v>
      </c>
      <c r="C84" s="2" t="s">
        <v>15</v>
      </c>
      <c r="D84" s="8" t="str">
        <f>HYPERLINK("https://www.boe.es/boe/dias/2022/11/12/pdfs/BOE-A-2022-")</f>
        <v>https://www.boe.es/boe/dias/2022/11/12/pdfs/BOE-A-2022-</v>
      </c>
      <c r="E84" s="2" t="s">
        <v>20</v>
      </c>
      <c r="F84" s="2" t="s">
        <v>35</v>
      </c>
      <c r="G84" s="2" t="s">
        <v>564</v>
      </c>
      <c r="H84" s="2" t="s">
        <v>565</v>
      </c>
      <c r="K84" s="4" t="str">
        <f t="shared" si="4"/>
        <v>12/07/2023</v>
      </c>
      <c r="L84" s="4" t="str">
        <f t="shared" si="5"/>
        <v>20/03/2023</v>
      </c>
      <c r="M84" s="2"/>
      <c r="N84" s="3" t="s">
        <v>566</v>
      </c>
      <c r="O84" s="2" t="s">
        <v>209</v>
      </c>
    </row>
    <row r="85" spans="1:15" ht="30" x14ac:dyDescent="0.25">
      <c r="A85" s="1">
        <v>83</v>
      </c>
      <c r="B85" s="2" t="s">
        <v>567</v>
      </c>
      <c r="C85" s="2" t="s">
        <v>15</v>
      </c>
      <c r="D85" s="8" t="str">
        <f>HYPERLINK("https://www.boe.es/boe/dias/2022/11/12/pdfs/BOE-A-2022-")</f>
        <v>https://www.boe.es/boe/dias/2022/11/12/pdfs/BOE-A-2022-</v>
      </c>
      <c r="E85" s="2" t="s">
        <v>20</v>
      </c>
      <c r="F85" s="2" t="s">
        <v>35</v>
      </c>
      <c r="G85" s="2" t="s">
        <v>568</v>
      </c>
      <c r="H85" s="2" t="s">
        <v>569</v>
      </c>
      <c r="K85" s="4" t="str">
        <f t="shared" si="4"/>
        <v>12/07/2023</v>
      </c>
      <c r="L85" s="4" t="str">
        <f t="shared" si="5"/>
        <v>20/03/2023</v>
      </c>
      <c r="M85" s="2"/>
      <c r="N85" s="3" t="s">
        <v>566</v>
      </c>
      <c r="O85" s="2" t="s">
        <v>209</v>
      </c>
    </row>
    <row r="86" spans="1:15" ht="30" x14ac:dyDescent="0.25">
      <c r="A86" s="1">
        <v>84</v>
      </c>
      <c r="B86" s="2" t="s">
        <v>570</v>
      </c>
      <c r="C86" s="2" t="s">
        <v>15</v>
      </c>
      <c r="D86" s="8" t="str">
        <f>HYPERLINK("https://www.boe.es/diario_boe/txt.php?id=BOE-A-2022-14113")</f>
        <v>https://www.boe.es/diario_boe/txt.php?id=BOE-A-2022-14113</v>
      </c>
      <c r="E86" s="2" t="s">
        <v>20</v>
      </c>
      <c r="F86" s="2" t="s">
        <v>35</v>
      </c>
      <c r="G86" s="2" t="s">
        <v>571</v>
      </c>
      <c r="K86" s="4" t="str">
        <f t="shared" si="4"/>
        <v>13/07/2023</v>
      </c>
      <c r="L86" s="4" t="str">
        <f t="shared" si="5"/>
        <v>31/12/2023</v>
      </c>
      <c r="M86" s="2" t="s">
        <v>573</v>
      </c>
      <c r="N86" s="3" t="s">
        <v>572</v>
      </c>
      <c r="O86" s="2" t="s">
        <v>180</v>
      </c>
    </row>
    <row r="87" spans="1:15" ht="60" x14ac:dyDescent="0.25">
      <c r="A87" s="1">
        <v>85</v>
      </c>
      <c r="B87" s="2" t="s">
        <v>574</v>
      </c>
      <c r="C87" s="2" t="s">
        <v>15</v>
      </c>
      <c r="D87" s="8" t="str">
        <f>HYPERLINK("https://portal.mineco.gob.es/es-es/ministerio/estrategias/Paginas/06_Programa_UNICO_Banda_Ancha.aspx")</f>
        <v>https://portal.mineco.gob.es/es-es/ministerio/estrategias/Paginas/06_Programa_UNICO_Banda_Ancha.aspx</v>
      </c>
      <c r="E87" s="2" t="s">
        <v>20</v>
      </c>
      <c r="F87" s="2" t="s">
        <v>70</v>
      </c>
      <c r="G87" s="2" t="s">
        <v>575</v>
      </c>
      <c r="H87" s="2" t="s">
        <v>576</v>
      </c>
      <c r="K87" s="4" t="str">
        <f t="shared" si="4"/>
        <v>07/08/2023</v>
      </c>
      <c r="L87" s="4" t="str">
        <f t="shared" si="5"/>
        <v>20/03/2023</v>
      </c>
      <c r="M87" s="2"/>
      <c r="N87" s="3" t="s">
        <v>577</v>
      </c>
      <c r="O87" s="2" t="s">
        <v>209</v>
      </c>
    </row>
    <row r="88" spans="1:15" ht="75" x14ac:dyDescent="0.25">
      <c r="A88" s="1">
        <v>86</v>
      </c>
      <c r="B88" s="2" t="s">
        <v>578</v>
      </c>
      <c r="C88" s="2" t="s">
        <v>15</v>
      </c>
      <c r="D88" s="8" t="str">
        <f>HYPERLINK("https://www.pap.hacienda.gob.es/bdnstrans/GE/es/convocatorias/719015")</f>
        <v>https://www.pap.hacienda.gob.es/bdnstrans/GE/es/convocatorias/719015</v>
      </c>
      <c r="E88" s="2" t="s">
        <v>2</v>
      </c>
      <c r="F88" s="2" t="s">
        <v>3</v>
      </c>
      <c r="G88" s="2" t="s">
        <v>579</v>
      </c>
      <c r="H88" s="2" t="s">
        <v>580</v>
      </c>
      <c r="I88" s="2" t="s">
        <v>581</v>
      </c>
      <c r="J88" s="2" t="s">
        <v>582</v>
      </c>
      <c r="K88" s="4" t="str">
        <f t="shared" si="4"/>
        <v>04/10/2023</v>
      </c>
      <c r="L88" s="4" t="str">
        <f t="shared" si="5"/>
        <v>20/10/2023</v>
      </c>
      <c r="M88" s="2" t="s">
        <v>584</v>
      </c>
      <c r="N88" s="3" t="s">
        <v>583</v>
      </c>
      <c r="O88" s="2" t="s">
        <v>637</v>
      </c>
    </row>
    <row r="89" spans="1:15" ht="90" x14ac:dyDescent="0.25">
      <c r="A89" s="1">
        <v>87</v>
      </c>
      <c r="B89" s="2" t="s">
        <v>585</v>
      </c>
      <c r="C89" s="2" t="s">
        <v>15</v>
      </c>
      <c r="D89" s="8" t="str">
        <f>HYPERLINK("https://ec.europa.eu/info/funding-tenders/opportunities/portal/screen/opportunities/topic-details/digital-2023-cloud-ai-04-aerosec;callCode=null;freeTextSearchKeyword=;matchWholeText=true;typeCodes=1,0;statusCodes=31094501,31094502;programmePeriod=2021%20")</f>
        <v>https://ec.europa.eu/info/funding-tenders/opportunities/portal/screen/opportunities/topic-details/digital-2023-cloud-ai-04-aerosec;callCode=null;freeTextSearchKeyword=;matchWholeText=true;typeCodes=1,0;statusCodes=31094501,31094502;programmePeriod=2021%20</v>
      </c>
      <c r="E89" s="2" t="s">
        <v>45</v>
      </c>
      <c r="F89" s="2" t="s">
        <v>3</v>
      </c>
      <c r="G89" s="2" t="s">
        <v>586</v>
      </c>
      <c r="H89" s="2" t="s">
        <v>587</v>
      </c>
      <c r="I89" s="2" t="s">
        <v>588</v>
      </c>
      <c r="J89" s="2" t="s">
        <v>589</v>
      </c>
      <c r="K89" s="4" t="str">
        <f t="shared" si="4"/>
        <v>11/05/2023</v>
      </c>
      <c r="L89" s="4" t="str">
        <f t="shared" si="5"/>
        <v>22/11/2023</v>
      </c>
      <c r="M89" s="2" t="s">
        <v>592</v>
      </c>
      <c r="N89" s="3" t="s">
        <v>590</v>
      </c>
      <c r="O89" s="2" t="s">
        <v>591</v>
      </c>
    </row>
    <row r="90" spans="1:15" ht="30" x14ac:dyDescent="0.25">
      <c r="A90" s="1">
        <v>89</v>
      </c>
      <c r="B90" s="2" t="s">
        <v>593</v>
      </c>
      <c r="C90" s="2" t="s">
        <v>15</v>
      </c>
      <c r="D90" s="8" t="s">
        <v>654</v>
      </c>
      <c r="E90" s="2" t="s">
        <v>126</v>
      </c>
      <c r="F90" s="2" t="s">
        <v>594</v>
      </c>
      <c r="G90" s="2" t="s">
        <v>595</v>
      </c>
      <c r="H90" s="2" t="s">
        <v>596</v>
      </c>
      <c r="J90" s="2" t="s">
        <v>74</v>
      </c>
      <c r="K90" s="4" t="str">
        <f t="shared" si="4"/>
        <v>01/09/2023</v>
      </c>
      <c r="L90" s="4" t="str">
        <f t="shared" si="5"/>
        <v>04/11/2023</v>
      </c>
      <c r="M90" s="2"/>
      <c r="N90" s="3" t="s">
        <v>597</v>
      </c>
      <c r="O90" s="2" t="s">
        <v>598</v>
      </c>
    </row>
    <row r="91" spans="1:15" ht="45" x14ac:dyDescent="0.25">
      <c r="A91" s="1">
        <v>90</v>
      </c>
      <c r="B91" s="2" t="s">
        <v>599</v>
      </c>
      <c r="C91" s="2" t="s">
        <v>15</v>
      </c>
      <c r="D91" s="8" t="str">
        <f>HYPERLINK("https://subvenciones.diputaciondevalladolid.es/convocatorias-subvenciones/-/journal_content/56/159746/5168385")</f>
        <v>https://subvenciones.diputaciondevalladolid.es/convocatorias-subvenciones/-/journal_content/56/159746/5168385</v>
      </c>
      <c r="E91" s="2" t="s">
        <v>126</v>
      </c>
      <c r="F91" s="2" t="s">
        <v>600</v>
      </c>
      <c r="G91" s="2" t="s">
        <v>601</v>
      </c>
      <c r="H91" s="2" t="s">
        <v>602</v>
      </c>
      <c r="J91" s="2" t="s">
        <v>74</v>
      </c>
      <c r="K91" s="4" t="str">
        <f t="shared" si="4"/>
        <v>06/09/2023</v>
      </c>
      <c r="L91" s="4" t="str">
        <f t="shared" si="5"/>
        <v>31/10/2023</v>
      </c>
      <c r="M91" s="2"/>
      <c r="N91" s="3" t="s">
        <v>603</v>
      </c>
      <c r="O91" s="2" t="s">
        <v>604</v>
      </c>
    </row>
    <row r="92" spans="1:15" ht="75" x14ac:dyDescent="0.25">
      <c r="A92" s="1">
        <v>91</v>
      </c>
      <c r="B92" s="2" t="s">
        <v>605</v>
      </c>
      <c r="C92" s="2" t="s">
        <v>8</v>
      </c>
      <c r="D92" s="8" t="str">
        <f>HYPERLINK("https://www.red.es/es/actualidad/noticias/abierta-la-segunda-convocatoria-de-ayudas-del-programa-kit-digital")</f>
        <v>https://www.red.es/es/actualidad/noticias/abierta-la-segunda-convocatoria-de-ayudas-del-programa-kit-digital</v>
      </c>
      <c r="E92" s="2" t="s">
        <v>20</v>
      </c>
      <c r="F92" s="2" t="s">
        <v>70</v>
      </c>
      <c r="G92" s="2" t="s">
        <v>606</v>
      </c>
      <c r="H92" s="2" t="s">
        <v>607</v>
      </c>
      <c r="J92" s="2" t="s">
        <v>74</v>
      </c>
      <c r="K92" s="4" t="str">
        <f t="shared" si="4"/>
        <v>02/09/2023</v>
      </c>
      <c r="L92" s="4" t="str">
        <f t="shared" si="5"/>
        <v>31/12/2024</v>
      </c>
      <c r="M92" s="2"/>
      <c r="N92" s="3" t="s">
        <v>608</v>
      </c>
      <c r="O92" s="2" t="s">
        <v>312</v>
      </c>
    </row>
    <row r="93" spans="1:15" ht="60" x14ac:dyDescent="0.25">
      <c r="A93" s="1">
        <v>92</v>
      </c>
      <c r="B93" s="2" t="s">
        <v>609</v>
      </c>
      <c r="C93" s="2" t="s">
        <v>15</v>
      </c>
      <c r="D93" s="8" t="str">
        <f>HYPERLINK("https://sede.idae.gob.es/lang/modulo/?refbol=tramites-servicios&amp;refsec=cadena-valor-hidrogeno-renovable&amp;idarticulo=146959")</f>
        <v>https://sede.idae.gob.es/lang/modulo/?refbol=tramites-servicios&amp;refsec=cadena-valor-hidrogeno-renovable&amp;idarticulo=146959</v>
      </c>
      <c r="E93" s="2" t="s">
        <v>20</v>
      </c>
      <c r="F93" s="2" t="s">
        <v>21</v>
      </c>
      <c r="G93" s="2" t="s">
        <v>610</v>
      </c>
      <c r="H93" s="2" t="s">
        <v>611</v>
      </c>
      <c r="J93" s="2" t="s">
        <v>74</v>
      </c>
      <c r="K93" s="4" t="str">
        <f t="shared" si="4"/>
        <v>08/09/2023</v>
      </c>
      <c r="L93" s="4" t="str">
        <f t="shared" si="5"/>
        <v>07/11/2023</v>
      </c>
      <c r="M93" s="2"/>
      <c r="N93" s="3" t="s">
        <v>612</v>
      </c>
      <c r="O93" s="2" t="s">
        <v>613</v>
      </c>
    </row>
    <row r="94" spans="1:15" ht="75" x14ac:dyDescent="0.25">
      <c r="A94" s="1">
        <v>93</v>
      </c>
      <c r="B94" s="2" t="s">
        <v>614</v>
      </c>
      <c r="C94" s="2" t="s">
        <v>8</v>
      </c>
      <c r="D94" s="8" t="str">
        <f>HYPERLINK("https://www.eoi.es/es/acelerastartups")</f>
        <v>https://www.eoi.es/es/acelerastartups</v>
      </c>
      <c r="E94" s="2" t="s">
        <v>20</v>
      </c>
      <c r="F94" s="2" t="s">
        <v>35</v>
      </c>
      <c r="G94" s="2" t="s">
        <v>615</v>
      </c>
      <c r="H94" s="2" t="s">
        <v>616</v>
      </c>
      <c r="J94" s="2" t="s">
        <v>74</v>
      </c>
      <c r="K94" s="4" t="str">
        <f t="shared" si="4"/>
        <v>05/09/2023</v>
      </c>
      <c r="L94" s="4" t="str">
        <f t="shared" si="5"/>
        <v>//</v>
      </c>
      <c r="M94" s="2"/>
      <c r="N94" s="3" t="s">
        <v>617</v>
      </c>
    </row>
    <row r="95" spans="1:15" ht="45" x14ac:dyDescent="0.25">
      <c r="A95" s="1">
        <v>94</v>
      </c>
      <c r="B95" s="2" t="s">
        <v>618</v>
      </c>
      <c r="C95" s="2" t="s">
        <v>15</v>
      </c>
      <c r="D95" s="8" t="str">
        <f>HYPERLINK("https://subvenciones.diputaciondevalladolid.es/convocatorias-subvenciones/-/journal_content/56/159746/5168385")</f>
        <v>https://subvenciones.diputaciondevalladolid.es/convocatorias-subvenciones/-/journal_content/56/159746/5168385</v>
      </c>
      <c r="E95" s="2" t="s">
        <v>126</v>
      </c>
      <c r="F95" s="2" t="s">
        <v>600</v>
      </c>
      <c r="G95" s="2" t="s">
        <v>619</v>
      </c>
      <c r="H95" s="2" t="s">
        <v>611</v>
      </c>
      <c r="J95" s="2" t="s">
        <v>74</v>
      </c>
      <c r="K95" s="4" t="str">
        <f t="shared" si="4"/>
        <v>25/08/2023</v>
      </c>
      <c r="L95" s="4" t="str">
        <f t="shared" si="5"/>
        <v>31/10/2023</v>
      </c>
      <c r="M95" s="2"/>
      <c r="N95" s="3" t="s">
        <v>620</v>
      </c>
      <c r="O95" s="2" t="s">
        <v>604</v>
      </c>
    </row>
    <row r="96" spans="1:15" ht="75" x14ac:dyDescent="0.25">
      <c r="A96" s="1">
        <v>95</v>
      </c>
      <c r="B96" s="2" t="s">
        <v>621</v>
      </c>
      <c r="C96" s="2" t="s">
        <v>15</v>
      </c>
      <c r="D96" s="8" t="str">
        <f>HYPERLINK("https://www.boe.es/diario_boe/txt.php?id=BOE-B-2023-30194")</f>
        <v>https://www.boe.es/diario_boe/txt.php?id=BOE-B-2023-30194</v>
      </c>
      <c r="E96" s="2" t="s">
        <v>45</v>
      </c>
      <c r="F96" s="2" t="s">
        <v>472</v>
      </c>
      <c r="G96" s="2" t="s">
        <v>622</v>
      </c>
      <c r="I96" s="2" t="s">
        <v>623</v>
      </c>
      <c r="K96" s="4" t="str">
        <f t="shared" si="4"/>
        <v>22/09/2023</v>
      </c>
      <c r="L96" s="4" t="str">
        <f t="shared" si="5"/>
        <v>03/11/2023</v>
      </c>
      <c r="M96" s="2" t="s">
        <v>626</v>
      </c>
      <c r="N96" s="3" t="s">
        <v>624</v>
      </c>
      <c r="O96" s="2" t="s">
        <v>625</v>
      </c>
    </row>
    <row r="97" spans="1:15" ht="75" x14ac:dyDescent="0.25">
      <c r="A97" s="1">
        <v>96</v>
      </c>
      <c r="B97" s="2" t="s">
        <v>627</v>
      </c>
      <c r="C97" s="2" t="s">
        <v>8</v>
      </c>
      <c r="D97" s="8" t="str">
        <f>HYPERLINK("https://bocyl.jcyl.es/boletines/2023/10/18/pdf/BOCYL-D-18102023-13.pdf")</f>
        <v>https://bocyl.jcyl.es/boletines/2023/10/18/pdf/BOCYL-D-18102023-13.pdf</v>
      </c>
      <c r="E97" s="2" t="s">
        <v>2</v>
      </c>
      <c r="F97" s="2" t="s">
        <v>3</v>
      </c>
      <c r="G97" s="2" t="s">
        <v>628</v>
      </c>
      <c r="H97" s="2" t="s">
        <v>629</v>
      </c>
      <c r="I97" s="2" t="s">
        <v>630</v>
      </c>
      <c r="J97" s="2" t="s">
        <v>631</v>
      </c>
      <c r="K97" s="4" t="str">
        <f t="shared" si="4"/>
        <v>19/10/2023</v>
      </c>
      <c r="L97" s="4" t="str">
        <f t="shared" si="5"/>
        <v>//</v>
      </c>
      <c r="M97" s="2" t="s">
        <v>296</v>
      </c>
      <c r="N97" s="3" t="s">
        <v>632</v>
      </c>
    </row>
    <row r="98" spans="1:15" ht="75" x14ac:dyDescent="0.25">
      <c r="A98" s="1">
        <v>97</v>
      </c>
      <c r="B98" s="2" t="s">
        <v>633</v>
      </c>
      <c r="C98" s="2" t="s">
        <v>15</v>
      </c>
      <c r="D98" s="8" t="str">
        <f>HYPERLINK("https://www.boe.es/diario_boe/txt.php?id=BOE-B-2023-30883")</f>
        <v>https://www.boe.es/diario_boe/txt.php?id=BOE-B-2023-30883</v>
      </c>
      <c r="E98" s="2" t="s">
        <v>20</v>
      </c>
      <c r="F98" s="2" t="s">
        <v>35</v>
      </c>
      <c r="G98" s="2" t="s">
        <v>634</v>
      </c>
      <c r="H98" s="2" t="s">
        <v>635</v>
      </c>
      <c r="I98" s="2" t="s">
        <v>633</v>
      </c>
      <c r="J98" s="2" t="s">
        <v>636</v>
      </c>
      <c r="K98" s="4" t="str">
        <f t="shared" si="4"/>
        <v>20/10/2023</v>
      </c>
      <c r="L98" s="4" t="str">
        <f t="shared" si="5"/>
        <v>20/11/2023</v>
      </c>
      <c r="M98" s="2" t="s">
        <v>639</v>
      </c>
      <c r="N98" s="3" t="s">
        <v>637</v>
      </c>
      <c r="O98" s="2" t="s">
        <v>638</v>
      </c>
    </row>
    <row r="99" spans="1:15" ht="210" x14ac:dyDescent="0.25">
      <c r="A99" s="1">
        <v>98</v>
      </c>
      <c r="B99" s="2" t="s">
        <v>659</v>
      </c>
      <c r="C99" s="2" t="s">
        <v>8</v>
      </c>
      <c r="D99" s="8" t="s">
        <v>660</v>
      </c>
      <c r="E99" s="2" t="s">
        <v>2</v>
      </c>
      <c r="F99" s="2" t="s">
        <v>3</v>
      </c>
      <c r="G99" s="2" t="s">
        <v>661</v>
      </c>
      <c r="H99" s="2" t="s">
        <v>662</v>
      </c>
      <c r="I99" s="2" t="s">
        <v>663</v>
      </c>
      <c r="J99" s="2" t="s">
        <v>664</v>
      </c>
      <c r="K99" s="3">
        <v>45237</v>
      </c>
      <c r="L99" s="4"/>
      <c r="M99" s="2" t="s">
        <v>657</v>
      </c>
    </row>
    <row r="100" spans="1:15" ht="405" x14ac:dyDescent="0.25">
      <c r="A100" s="1">
        <v>99</v>
      </c>
      <c r="B100" s="2" t="s">
        <v>665</v>
      </c>
      <c r="C100" s="2" t="s">
        <v>8</v>
      </c>
      <c r="D100" s="8" t="s">
        <v>666</v>
      </c>
      <c r="E100" s="2" t="s">
        <v>2</v>
      </c>
      <c r="F100" s="2" t="s">
        <v>3</v>
      </c>
      <c r="G100" s="10" t="s">
        <v>667</v>
      </c>
      <c r="H100" s="10" t="s">
        <v>668</v>
      </c>
      <c r="I100" s="10" t="s">
        <v>669</v>
      </c>
      <c r="J100" s="10" t="s">
        <v>670</v>
      </c>
      <c r="K100" s="3">
        <v>45253</v>
      </c>
      <c r="L100" s="4"/>
      <c r="M100" s="2" t="s">
        <v>657</v>
      </c>
    </row>
    <row r="101" spans="1:15" ht="105" x14ac:dyDescent="0.25">
      <c r="A101" s="1">
        <v>100</v>
      </c>
      <c r="B101" s="10" t="s">
        <v>671</v>
      </c>
      <c r="C101" s="2" t="s">
        <v>8</v>
      </c>
      <c r="D101" s="8" t="s">
        <v>672</v>
      </c>
      <c r="E101" s="2" t="s">
        <v>2</v>
      </c>
      <c r="F101" s="2" t="s">
        <v>3</v>
      </c>
      <c r="G101" s="10" t="s">
        <v>673</v>
      </c>
      <c r="H101" s="10" t="s">
        <v>674</v>
      </c>
      <c r="I101" s="10" t="s">
        <v>676</v>
      </c>
      <c r="J101" s="10" t="s">
        <v>675</v>
      </c>
      <c r="K101" s="3">
        <v>45293</v>
      </c>
      <c r="L101" s="3">
        <v>45380</v>
      </c>
      <c r="M101" s="10" t="s">
        <v>677</v>
      </c>
    </row>
    <row r="102" spans="1:15" ht="375" x14ac:dyDescent="0.25">
      <c r="A102" s="1">
        <v>101</v>
      </c>
      <c r="B102" s="10" t="s">
        <v>678</v>
      </c>
      <c r="C102" s="2" t="s">
        <v>8</v>
      </c>
      <c r="D102" s="8" t="s">
        <v>683</v>
      </c>
      <c r="E102" s="2" t="s">
        <v>2</v>
      </c>
      <c r="F102" s="10" t="s">
        <v>119</v>
      </c>
      <c r="G102" s="10" t="s">
        <v>679</v>
      </c>
      <c r="H102" s="10" t="s">
        <v>680</v>
      </c>
      <c r="I102" s="10" t="s">
        <v>681</v>
      </c>
      <c r="J102" s="10" t="s">
        <v>682</v>
      </c>
      <c r="K102" s="11">
        <v>45282</v>
      </c>
      <c r="L102" s="3">
        <v>45351</v>
      </c>
      <c r="M102" s="10" t="s">
        <v>677</v>
      </c>
    </row>
    <row r="103" spans="1:15" ht="165" x14ac:dyDescent="0.25">
      <c r="A103" s="1">
        <v>102</v>
      </c>
      <c r="B103" s="10" t="s">
        <v>684</v>
      </c>
      <c r="C103" s="2" t="s">
        <v>8</v>
      </c>
      <c r="D103" s="8" t="s">
        <v>685</v>
      </c>
      <c r="E103" s="2" t="s">
        <v>20</v>
      </c>
      <c r="F103" s="10" t="s">
        <v>687</v>
      </c>
      <c r="G103" s="10" t="s">
        <v>686</v>
      </c>
      <c r="H103" s="10" t="s">
        <v>688</v>
      </c>
      <c r="I103" s="10"/>
      <c r="J103" s="10" t="s">
        <v>689</v>
      </c>
      <c r="K103" s="11">
        <v>45252</v>
      </c>
      <c r="L103" s="3">
        <v>45565</v>
      </c>
      <c r="M103" s="10" t="s">
        <v>690</v>
      </c>
    </row>
    <row r="104" spans="1:15" ht="225" x14ac:dyDescent="0.25">
      <c r="A104" s="1">
        <v>103</v>
      </c>
      <c r="B104" s="10" t="s">
        <v>691</v>
      </c>
      <c r="C104" s="2" t="s">
        <v>15</v>
      </c>
      <c r="D104" s="8" t="s">
        <v>692</v>
      </c>
      <c r="E104" s="2" t="s">
        <v>20</v>
      </c>
      <c r="F104" s="10" t="s">
        <v>693</v>
      </c>
      <c r="G104" s="10" t="s">
        <v>694</v>
      </c>
      <c r="H104" s="10" t="s">
        <v>695</v>
      </c>
      <c r="I104" s="10"/>
      <c r="J104" s="10" t="s">
        <v>696</v>
      </c>
      <c r="K104" s="11">
        <v>45273</v>
      </c>
      <c r="L104" s="3">
        <v>45335</v>
      </c>
      <c r="M104" s="10"/>
    </row>
    <row r="105" spans="1:15" ht="210" x14ac:dyDescent="0.25">
      <c r="A105" s="1">
        <v>104</v>
      </c>
      <c r="B105" s="10" t="s">
        <v>697</v>
      </c>
      <c r="C105" s="2" t="s">
        <v>15</v>
      </c>
      <c r="D105" s="8" t="s">
        <v>698</v>
      </c>
      <c r="E105" s="2" t="s">
        <v>20</v>
      </c>
      <c r="F105" s="10" t="s">
        <v>699</v>
      </c>
      <c r="G105" s="10" t="s">
        <v>700</v>
      </c>
      <c r="H105" s="10" t="s">
        <v>701</v>
      </c>
      <c r="I105" s="10"/>
      <c r="J105" s="10" t="s">
        <v>702</v>
      </c>
      <c r="K105" s="11">
        <v>45301</v>
      </c>
      <c r="L105" s="3">
        <v>45318</v>
      </c>
      <c r="M105" s="10"/>
    </row>
    <row r="106" spans="1:15" ht="165" x14ac:dyDescent="0.25">
      <c r="A106" s="1">
        <v>105</v>
      </c>
      <c r="B106" s="10" t="s">
        <v>703</v>
      </c>
      <c r="C106" s="2" t="s">
        <v>15</v>
      </c>
      <c r="D106" s="8" t="s">
        <v>710</v>
      </c>
      <c r="E106" s="2" t="s">
        <v>20</v>
      </c>
      <c r="F106" s="10" t="s">
        <v>705</v>
      </c>
      <c r="G106" s="10" t="s">
        <v>707</v>
      </c>
      <c r="H106" s="10" t="s">
        <v>708</v>
      </c>
      <c r="I106" s="10"/>
      <c r="J106" s="10" t="s">
        <v>709</v>
      </c>
      <c r="K106" s="11">
        <v>45301</v>
      </c>
      <c r="L106" s="3">
        <v>45321</v>
      </c>
      <c r="M106" s="10"/>
    </row>
    <row r="107" spans="1:15" ht="409.5" x14ac:dyDescent="0.25">
      <c r="A107" s="1">
        <v>106</v>
      </c>
      <c r="B107" s="10" t="s">
        <v>711</v>
      </c>
      <c r="C107" s="2" t="s">
        <v>8</v>
      </c>
      <c r="D107" s="8" t="s">
        <v>704</v>
      </c>
      <c r="E107" s="2" t="s">
        <v>20</v>
      </c>
      <c r="F107" s="10" t="s">
        <v>705</v>
      </c>
      <c r="G107" s="10" t="s">
        <v>706</v>
      </c>
      <c r="H107" s="10" t="s">
        <v>712</v>
      </c>
      <c r="I107" s="10"/>
      <c r="J107" s="10" t="s">
        <v>713</v>
      </c>
      <c r="K107" s="11">
        <v>45305</v>
      </c>
      <c r="L107" s="3">
        <v>45364</v>
      </c>
      <c r="M107" s="10" t="s">
        <v>714</v>
      </c>
    </row>
    <row r="108" spans="1:15" ht="105" x14ac:dyDescent="0.25">
      <c r="A108" s="1">
        <v>107</v>
      </c>
      <c r="B108" s="10" t="s">
        <v>715</v>
      </c>
      <c r="C108" s="2" t="s">
        <v>8</v>
      </c>
      <c r="D108" s="8" t="s">
        <v>716</v>
      </c>
      <c r="E108" s="2" t="s">
        <v>20</v>
      </c>
      <c r="F108" s="10" t="s">
        <v>717</v>
      </c>
      <c r="G108" s="10" t="s">
        <v>718</v>
      </c>
      <c r="H108" s="10" t="s">
        <v>719</v>
      </c>
      <c r="I108" s="10"/>
      <c r="J108" s="10" t="s">
        <v>74</v>
      </c>
      <c r="K108" s="11">
        <v>45384</v>
      </c>
      <c r="L108" s="3">
        <v>45412</v>
      </c>
      <c r="M108" s="10"/>
    </row>
    <row r="109" spans="1:15" ht="60" x14ac:dyDescent="0.25">
      <c r="A109" s="1">
        <v>108</v>
      </c>
      <c r="B109" s="10" t="s">
        <v>720</v>
      </c>
      <c r="C109" s="2" t="s">
        <v>8</v>
      </c>
      <c r="D109" s="8" t="s">
        <v>721</v>
      </c>
      <c r="E109" s="2" t="s">
        <v>20</v>
      </c>
      <c r="F109" s="10" t="s">
        <v>70</v>
      </c>
      <c r="G109" s="10" t="s">
        <v>722</v>
      </c>
      <c r="H109" s="10" t="s">
        <v>723</v>
      </c>
      <c r="I109" s="10" t="s">
        <v>724</v>
      </c>
      <c r="J109" s="10" t="s">
        <v>725</v>
      </c>
      <c r="K109" s="11">
        <v>45181</v>
      </c>
      <c r="L109" s="3">
        <v>45657</v>
      </c>
      <c r="M109" s="10"/>
    </row>
    <row r="110" spans="1:15" ht="105" x14ac:dyDescent="0.25">
      <c r="A110" s="1">
        <v>109</v>
      </c>
      <c r="B110" s="10" t="s">
        <v>726</v>
      </c>
      <c r="C110" s="2" t="s">
        <v>8</v>
      </c>
      <c r="D110" s="8" t="s">
        <v>728</v>
      </c>
      <c r="E110" s="2" t="s">
        <v>202</v>
      </c>
      <c r="F110" s="10" t="s">
        <v>727</v>
      </c>
      <c r="G110" s="10" t="s">
        <v>729</v>
      </c>
      <c r="H110" s="10" t="s">
        <v>730</v>
      </c>
      <c r="I110" s="10" t="s">
        <v>732</v>
      </c>
      <c r="J110" s="10" t="s">
        <v>731</v>
      </c>
      <c r="K110" s="11">
        <v>45337</v>
      </c>
      <c r="L110" s="3">
        <v>45351</v>
      </c>
      <c r="M110" s="10"/>
    </row>
  </sheetData>
  <sheetProtection algorithmName="SHA-512" hashValue="ztll6CDGAS9CwFjT5UH/9Wq7q9poxuIicrNhCFu1nRA3C0cgSSHWypAQXajrvmX6nO9cAYfyyFCr5ooWunvIzQ==" saltValue="mhblkXvE98iP0XRzxAxT/A==" spinCount="100000" sheet="1" autoFilter="0"/>
  <mergeCells count="1">
    <mergeCell ref="A1:G1"/>
  </mergeCells>
  <phoneticPr fontId="5" type="noConversion"/>
  <hyperlinks>
    <hyperlink ref="D3" r:id="rId1" display="https://www.tramitacastillayleon.jcyl.es/web/jcyl/AdministracionElectronica/es/Plantilla100Detalle/1251181050732/Ayuda012/1284856756788/Propuesta" xr:uid="{0C5F1234-7632-46F7-BBFD-E975800A6BED}"/>
    <hyperlink ref="D4" r:id="rId2" xr:uid="{F5889A2B-174C-43CE-AC4C-4FCC5BB0A501}"/>
    <hyperlink ref="D90" r:id="rId3" xr:uid="{54263F61-6643-425E-BDD4-9EB1A7E304E5}"/>
    <hyperlink ref="D99" r:id="rId4" xr:uid="{DDD08E19-529F-419A-9E42-D52A0673739D}"/>
    <hyperlink ref="D100" r:id="rId5" xr:uid="{DF7E073F-D45C-4D3A-8514-5AFC4263ACAA}"/>
    <hyperlink ref="D101" r:id="rId6" xr:uid="{7857B18A-5966-4888-813D-43F6AE8AD7F3}"/>
    <hyperlink ref="D102" r:id="rId7" xr:uid="{BB2987D5-CFAF-49D8-B351-4C56CA6A21D6}"/>
    <hyperlink ref="D108" r:id="rId8" xr:uid="{7818FBE9-EB57-4FD3-B42C-7B91EF3AFB35}"/>
    <hyperlink ref="D109" r:id="rId9" xr:uid="{F5F76549-2302-46F8-9B14-D881A146D799}"/>
    <hyperlink ref="D110" r:id="rId10" xr:uid="{302907C3-7B27-4C8D-8155-68E7E27DEAE2}"/>
  </hyperlinks>
  <pageMargins left="0.7" right="0.7" top="0.75" bottom="0.75" header="0.3" footer="0.3"/>
  <pageSetup orientation="portrait" r:id="rId11"/>
  <headerFooter alignWithMargins="0"/>
  <drawing r:id="rId12"/>
  <tableParts count="1">
    <tablePart r:id="rId1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Listado_ayudas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Luis Martinez</cp:lastModifiedBy>
  <dcterms:created xsi:type="dcterms:W3CDTF">2024-01-03T08:07:35Z</dcterms:created>
  <dcterms:modified xsi:type="dcterms:W3CDTF">2024-02-27T09:29:35Z</dcterms:modified>
</cp:coreProperties>
</file>